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40" windowWidth="10350" windowHeight="7485" activeTab="2"/>
  </bookViews>
  <sheets>
    <sheet name="新增资本新增人口比值" sheetId="1" r:id="rId1"/>
    <sheet name="新增资本新增人口比值图" sheetId="2" r:id="rId2"/>
    <sheet name="人均国内生产总值" sheetId="3" r:id="rId3"/>
  </sheets>
  <definedNames>
    <definedName name="_xlnm.Print_Area" localSheetId="2">'人均国内生产总值'!$A$1:$Q$88</definedName>
    <definedName name="_xlnm.Print_Area" localSheetId="0">'新增资本新增人口比值'!$A$1:$N$96</definedName>
    <definedName name="_xlnm.Print_Titles" localSheetId="2">'人均国内生产总值'!$A:$A,'人均国内生产总值'!$1:$11</definedName>
    <definedName name="_xlnm.Print_Titles" localSheetId="0">'新增资本新增人口比值'!$A:$A,'新增资本新增人口比值'!$1:$11</definedName>
  </definedNames>
  <calcPr fullCalcOnLoad="1"/>
</workbook>
</file>

<file path=xl/sharedStrings.xml><?xml version="1.0" encoding="utf-8"?>
<sst xmlns="http://schemas.openxmlformats.org/spreadsheetml/2006/main" count="339" uniqueCount="230">
  <si>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</si>
  <si>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</si>
  <si>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</si>
  <si>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</si>
  <si>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</si>
  <si>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</si>
  <si>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</si>
  <si>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</si>
  <si>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</si>
  <si>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</si>
  <si>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</si>
  <si>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</si>
  <si>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</si>
  <si>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</si>
  <si>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</si>
  <si>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</si>
  <si>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</si>
  <si>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</si>
  <si>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</si>
  <si>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</si>
  <si>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</si>
  <si>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</si>
  <si>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</si>
  <si>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</si>
  <si>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</si>
  <si>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</si>
  <si>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</si>
  <si>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</si>
  <si>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</si>
  <si>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</si>
  <si>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</si>
  <si>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</si>
  <si>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</si>
  <si>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</si>
  <si>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</si>
  <si>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</si>
  <si>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</si>
  <si>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</si>
  <si>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</si>
  <si>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</si>
  <si>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</si>
  <si>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</si>
  <si>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</si>
  <si>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</si>
  <si>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</si>
  <si>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</si>
  <si>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</si>
  <si>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</si>
  <si>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</si>
  <si>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</si>
  <si>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</si>
  <si>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</si>
  <si>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</si>
  <si>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297.7</t>
  </si>
  <si>
    <t>317.1</t>
  </si>
  <si>
    <t>329.4</t>
  </si>
  <si>
    <t>386.8</t>
  </si>
  <si>
    <t>439.7</t>
  </si>
  <si>
    <t>492.2</t>
  </si>
  <si>
    <t>527.8</t>
  </si>
  <si>
    <t>579.6</t>
  </si>
  <si>
    <t>634.6</t>
  </si>
  <si>
    <t>650.4</t>
  </si>
  <si>
    <t>665.5</t>
  </si>
  <si>
    <t>716.7</t>
  </si>
  <si>
    <t>808.8</t>
  </si>
  <si>
    <t>907.6</t>
  </si>
  <si>
    <t>1010.9</t>
  </si>
  <si>
    <t>1105.1</t>
  </si>
  <si>
    <t>1198.5</t>
  </si>
  <si>
    <t>1291.2</t>
  </si>
  <si>
    <t>1378.5</t>
  </si>
  <si>
    <t>1464.5</t>
  </si>
  <si>
    <t>1568.4</t>
  </si>
  <si>
    <t>1673.5</t>
  </si>
  <si>
    <t>1800.7</t>
  </si>
  <si>
    <t>1959.2</t>
  </si>
  <si>
    <t>2131.6</t>
  </si>
  <si>
    <t>人均国内生产总值指数(基期比)</t>
  </si>
  <si>
    <t>人均国内生产总值指数(环比)</t>
  </si>
  <si>
    <t>人均国内    生产总值 I</t>
  </si>
  <si>
    <t>人均国内    生产总值 II</t>
  </si>
  <si>
    <t>人均国内    生产总值指数(基期比)</t>
  </si>
  <si>
    <t>人均国内生产总值III(根据基期比指数)</t>
  </si>
  <si>
    <t>人均国内    生产总值IV(根据环比指数)</t>
  </si>
  <si>
    <t>人均国内    生产总值III与IV之差</t>
  </si>
  <si>
    <t>人均国内生产总值III与IV之相对差</t>
  </si>
  <si>
    <t>单位</t>
  </si>
  <si>
    <t>1952年＝100</t>
  </si>
  <si>
    <t>1978年＝100</t>
  </si>
  <si>
    <t>上年＝100</t>
  </si>
  <si>
    <t>1978年价格，%</t>
  </si>
  <si>
    <t>数据性质</t>
  </si>
  <si>
    <t>原始数据</t>
  </si>
  <si>
    <t>计算数据</t>
  </si>
  <si>
    <t>统计汇编1949-2004</t>
  </si>
  <si>
    <t>A</t>
  </si>
  <si>
    <t>B</t>
  </si>
  <si>
    <t>C</t>
  </si>
  <si>
    <t>人均国内生产总值V(基期比与环比计算结果的平均值)</t>
  </si>
  <si>
    <t>人均国内生产总值 VI     (整数值)</t>
  </si>
  <si>
    <t>354.0</t>
  </si>
  <si>
    <t>1978</t>
  </si>
  <si>
    <r>
      <t xml:space="preserve">1.  </t>
    </r>
    <r>
      <rPr>
        <b/>
        <sz val="10"/>
        <rFont val="宋体"/>
        <family val="0"/>
      </rPr>
      <t>统计汇编</t>
    </r>
    <r>
      <rPr>
        <b/>
        <sz val="10"/>
        <rFont val="Verdana"/>
        <family val="2"/>
      </rPr>
      <t>1949-2004</t>
    </r>
    <r>
      <rPr>
        <b/>
        <sz val="10"/>
        <rFont val="宋体"/>
        <family val="0"/>
      </rPr>
      <t>：国家统计局国民经济综合统计司，编，</t>
    </r>
    <r>
      <rPr>
        <b/>
        <sz val="10"/>
        <rFont val="Verdana"/>
        <family val="2"/>
      </rPr>
      <t>2005</t>
    </r>
    <r>
      <rPr>
        <b/>
        <sz val="10"/>
        <rFont val="宋体"/>
        <family val="0"/>
      </rPr>
      <t>，新中国五十五年来统计资料汇编，</t>
    </r>
    <r>
      <rPr>
        <b/>
        <sz val="10"/>
        <rFont val="Verdana"/>
        <family val="2"/>
      </rPr>
      <t>1949-2004</t>
    </r>
    <r>
      <rPr>
        <b/>
        <sz val="10"/>
        <rFont val="宋体"/>
        <family val="0"/>
      </rPr>
      <t>，北京：中国统计出版社。</t>
    </r>
  </si>
  <si>
    <t>资料来源：</t>
  </si>
  <si>
    <t>O</t>
  </si>
  <si>
    <t>人均国内生产总值 VI 年增长率</t>
  </si>
  <si>
    <t>人口自然增长率</t>
  </si>
  <si>
    <t>‰</t>
  </si>
  <si>
    <t>%</t>
  </si>
  <si>
    <t>计算数据</t>
  </si>
  <si>
    <t>计算数据</t>
  </si>
  <si>
    <t>资料来源计算方法</t>
  </si>
  <si>
    <t>国内生产总值(支出法)</t>
  </si>
  <si>
    <t>资本形成总额</t>
  </si>
  <si>
    <t>亿元</t>
  </si>
  <si>
    <t>%</t>
  </si>
  <si>
    <t>F</t>
  </si>
  <si>
    <t>投资率 I</t>
  </si>
  <si>
    <t>投资率 II</t>
  </si>
  <si>
    <t>G</t>
  </si>
  <si>
    <t>D</t>
  </si>
  <si>
    <t>E</t>
  </si>
  <si>
    <t>H</t>
  </si>
  <si>
    <t>I</t>
  </si>
  <si>
    <t>新增资本与新增人口比</t>
  </si>
  <si>
    <t>J</t>
  </si>
  <si>
    <t>指标</t>
  </si>
  <si>
    <t>投资率与人口增长率之比</t>
  </si>
  <si>
    <t>人均国内生产总值</t>
  </si>
  <si>
    <t>1978</t>
  </si>
  <si>
    <t>本表的计算程序如下：</t>
  </si>
  <si>
    <t>（7）计算中对不同来源数据的使用原则是优先使用最新出版的数据。</t>
  </si>
  <si>
    <t>（8）没有考虑原始数据本身可能有的问题和误差。没有考虑国家统计部门非系统性、非系列性以及初步出版的出版的统计数据。</t>
  </si>
  <si>
    <t>如果国家统计部门正式发布人均国内生产总值的不变价格数据，本表将自动作废。</t>
  </si>
  <si>
    <t>说明：</t>
  </si>
  <si>
    <t>中国国家统计局公布了人口增长率、用当年价格计算的国内生产总值（支出法）、资本形成总额以及部分年份投资率。根据这些数据和本文件中“人均国内生产总值”</t>
  </si>
  <si>
    <t>原始数据列中的空白栏表示在本表使用的资料来源中没有相应数据。</t>
  </si>
  <si>
    <t>原始数据列中的空白栏表示在本表使用的资料来源中没有相应数据。</t>
  </si>
  <si>
    <t>K</t>
  </si>
  <si>
    <t>L</t>
  </si>
  <si>
    <t>新增资本与新增人口比      (整数值）</t>
  </si>
  <si>
    <t>1978年价格,%</t>
  </si>
  <si>
    <t>1978年价格,元</t>
  </si>
  <si>
    <r>
      <t>（以</t>
    </r>
    <r>
      <rPr>
        <b/>
        <sz val="12"/>
        <rFont val="Verdana"/>
        <family val="2"/>
      </rPr>
      <t>1978</t>
    </r>
    <r>
      <rPr>
        <b/>
        <sz val="12"/>
        <rFont val="宋体"/>
        <family val="0"/>
      </rPr>
      <t>年为基期）</t>
    </r>
  </si>
  <si>
    <t>胡景北声明：本表供自由、免费使用。本人为本表原始数据的正确性、计算程序的可行性与计算结果的准确性负道义责任。希望使用者对资料来源做出类似的注明“胡景北，2007，中国人均国内生产总值表，www.hujingbei.net”。</t>
  </si>
  <si>
    <r>
      <t>（</t>
    </r>
    <r>
      <rPr>
        <b/>
        <sz val="10"/>
        <rFont val="Verdana"/>
        <family val="2"/>
      </rPr>
      <t>6</t>
    </r>
    <r>
      <rPr>
        <b/>
        <sz val="10"/>
        <rFont val="宋体"/>
        <family val="0"/>
      </rPr>
      <t>）具体计算方法见表头“资料来源计算方法”行中的说明。其中</t>
    </r>
    <r>
      <rPr>
        <b/>
        <sz val="10"/>
        <rFont val="Verdana"/>
        <family val="2"/>
      </rPr>
      <t xml:space="preserve">t </t>
    </r>
    <r>
      <rPr>
        <b/>
        <sz val="10"/>
        <rFont val="宋体"/>
        <family val="0"/>
      </rPr>
      <t>表示年份或行号，其余字母皆表示列号。</t>
    </r>
  </si>
  <si>
    <r>
      <t>最终计算结果请直接见</t>
    </r>
    <r>
      <rPr>
        <b/>
        <sz val="14"/>
        <rFont val="Verdana"/>
        <family val="2"/>
      </rPr>
      <t>B</t>
    </r>
    <r>
      <rPr>
        <b/>
        <sz val="14"/>
        <rFont val="宋体"/>
        <family val="0"/>
      </rPr>
      <t>列。</t>
    </r>
  </si>
  <si>
    <t>最终计算结果</t>
  </si>
  <si>
    <t>B</t>
  </si>
  <si>
    <t>人均国内生产总值</t>
  </si>
  <si>
    <t>人均国内生产      总值年增长率</t>
  </si>
  <si>
    <t>1978年价格,%</t>
  </si>
  <si>
    <t>1978年价格,%</t>
  </si>
  <si>
    <t>列号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</si>
  <si>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</si>
  <si>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</si>
  <si>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</si>
  <si>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</si>
  <si>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</si>
  <si>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</si>
  <si>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</si>
  <si>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</si>
  <si>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</si>
  <si>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</si>
  <si>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</si>
  <si>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</si>
  <si>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</si>
  <si>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</si>
  <si>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M=K-L</t>
  </si>
  <si>
    <t>N=[(K-L)/K]*100</t>
  </si>
  <si>
    <t>O=(K+L)/2</t>
  </si>
  <si>
    <t>P=O 精确到元</t>
  </si>
  <si>
    <t>Q={[(O(t+1)-O(t)]/O(t)}*100</t>
  </si>
  <si>
    <t>见列P</t>
  </si>
  <si>
    <t>见列Q</t>
  </si>
  <si>
    <r>
      <t>（</t>
    </r>
    <r>
      <rPr>
        <b/>
        <sz val="10"/>
        <rFont val="Verdana"/>
        <family val="2"/>
      </rPr>
      <t>4</t>
    </r>
    <r>
      <rPr>
        <b/>
        <sz val="10"/>
        <rFont val="宋体"/>
        <family val="0"/>
      </rPr>
      <t>）考虑</t>
    </r>
    <r>
      <rPr>
        <b/>
        <sz val="10"/>
        <rFont val="Verdana"/>
        <family val="2"/>
      </rPr>
      <t>K</t>
    </r>
    <r>
      <rPr>
        <b/>
        <sz val="10"/>
        <rFont val="宋体"/>
        <family val="0"/>
      </rPr>
      <t>、</t>
    </r>
    <r>
      <rPr>
        <b/>
        <sz val="10"/>
        <rFont val="Verdana"/>
        <family val="2"/>
      </rPr>
      <t>L</t>
    </r>
    <r>
      <rPr>
        <b/>
        <sz val="10"/>
        <rFont val="宋体"/>
        <family val="0"/>
      </rPr>
      <t>两列数据的差异，采用它们的算术平均数，得出本表计算的以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年为基期的人均国内生产总值的最终结果，见列</t>
    </r>
    <r>
      <rPr>
        <b/>
        <sz val="10"/>
        <rFont val="Verdana"/>
        <family val="2"/>
      </rPr>
      <t>O</t>
    </r>
    <r>
      <rPr>
        <b/>
        <sz val="10"/>
        <rFont val="宋体"/>
        <family val="0"/>
      </rPr>
      <t>。列</t>
    </r>
    <r>
      <rPr>
        <b/>
        <sz val="10"/>
        <rFont val="Verdana"/>
        <family val="2"/>
      </rPr>
      <t>P</t>
    </r>
    <r>
      <rPr>
        <b/>
        <sz val="10"/>
        <rFont val="宋体"/>
        <family val="0"/>
      </rPr>
      <t>数据是经过四舍五入简化了的人均国内生产总值整数值。</t>
    </r>
  </si>
  <si>
    <t>（5）1978年的基本数据皆为原始数据，本表不予计算。</t>
  </si>
  <si>
    <t>欢迎批评和建议。本表数据将不断更新，计算程序将不断改进。</t>
  </si>
  <si>
    <t>1978年价格,元</t>
  </si>
  <si>
    <t>最终计算结果</t>
  </si>
  <si>
    <t>见列M</t>
  </si>
  <si>
    <t>见列N</t>
  </si>
  <si>
    <t>新增资本与       新增人口比</t>
  </si>
  <si>
    <t>新增资本与   新增人口比    年增长率</t>
  </si>
  <si>
    <t>E=D/10</t>
  </si>
  <si>
    <t>H=G/F*100</t>
  </si>
  <si>
    <t>到1977年：J=H/E        从1978年：       J＝I/E</t>
  </si>
  <si>
    <t>表"人均国内生产总值“中的列O</t>
  </si>
  <si>
    <t>L=J*K</t>
  </si>
  <si>
    <t xml:space="preserve"> M=L 精确到元</t>
  </si>
  <si>
    <t>N={[(L(t+1)-L(t)]/L(t)}*100</t>
  </si>
  <si>
    <t>新增资本与新增人口比    年增长率</t>
  </si>
  <si>
    <t>如果国家统计部门正式发布本表的计算数据，本表将自动作废。</t>
  </si>
  <si>
    <t>M</t>
  </si>
  <si>
    <t>N</t>
  </si>
  <si>
    <r>
      <t>（</t>
    </r>
    <r>
      <rPr>
        <b/>
        <sz val="10"/>
        <rFont val="Verdana"/>
        <family val="2"/>
      </rPr>
      <t>1</t>
    </r>
    <r>
      <rPr>
        <b/>
        <sz val="10"/>
        <rFont val="宋体"/>
        <family val="0"/>
      </rPr>
      <t>）把人口增长率改换成百分数，计算结果见列</t>
    </r>
    <r>
      <rPr>
        <b/>
        <sz val="10"/>
        <rFont val="Verdana"/>
        <family val="2"/>
      </rPr>
      <t>E</t>
    </r>
    <r>
      <rPr>
        <b/>
        <sz val="10"/>
        <rFont val="宋体"/>
        <family val="0"/>
      </rPr>
      <t>。</t>
    </r>
  </si>
  <si>
    <r>
      <t>（</t>
    </r>
    <r>
      <rPr>
        <b/>
        <sz val="10"/>
        <rFont val="Verdana"/>
        <family val="2"/>
      </rPr>
      <t>2</t>
    </r>
    <r>
      <rPr>
        <b/>
        <sz val="10"/>
        <rFont val="宋体"/>
        <family val="0"/>
      </rPr>
      <t>）根据列</t>
    </r>
    <r>
      <rPr>
        <b/>
        <sz val="10"/>
        <rFont val="Verdana"/>
        <family val="2"/>
      </rPr>
      <t>F</t>
    </r>
    <r>
      <rPr>
        <b/>
        <sz val="10"/>
        <rFont val="宋体"/>
        <family val="0"/>
      </rPr>
      <t>、</t>
    </r>
    <r>
      <rPr>
        <b/>
        <sz val="10"/>
        <rFont val="Verdana"/>
        <family val="2"/>
      </rPr>
      <t>G</t>
    </r>
    <r>
      <rPr>
        <b/>
        <sz val="10"/>
        <rFont val="宋体"/>
        <family val="0"/>
      </rPr>
      <t>的数据计算投资率，计算结果见列</t>
    </r>
    <r>
      <rPr>
        <b/>
        <sz val="10"/>
        <rFont val="Verdana"/>
        <family val="2"/>
      </rPr>
      <t>H</t>
    </r>
    <r>
      <rPr>
        <b/>
        <sz val="10"/>
        <rFont val="宋体"/>
        <family val="0"/>
      </rPr>
      <t>。</t>
    </r>
  </si>
  <si>
    <r>
      <t>（</t>
    </r>
    <r>
      <rPr>
        <b/>
        <sz val="10"/>
        <rFont val="Verdana"/>
        <family val="2"/>
      </rPr>
      <t>3</t>
    </r>
    <r>
      <rPr>
        <b/>
        <sz val="10"/>
        <rFont val="宋体"/>
        <family val="0"/>
      </rPr>
      <t>）根据列</t>
    </r>
    <r>
      <rPr>
        <b/>
        <sz val="10"/>
        <rFont val="Verdana"/>
        <family val="2"/>
      </rPr>
      <t>E</t>
    </r>
    <r>
      <rPr>
        <b/>
        <sz val="10"/>
        <rFont val="宋体"/>
        <family val="0"/>
      </rPr>
      <t>的人口增长率和列</t>
    </r>
    <r>
      <rPr>
        <b/>
        <sz val="10"/>
        <rFont val="Verdana"/>
        <family val="2"/>
      </rPr>
      <t>H</t>
    </r>
    <r>
      <rPr>
        <b/>
        <sz val="10"/>
        <rFont val="宋体"/>
        <family val="0"/>
      </rPr>
      <t>、</t>
    </r>
    <r>
      <rPr>
        <b/>
        <sz val="10"/>
        <rFont val="Verdana"/>
        <family val="2"/>
      </rPr>
      <t>I</t>
    </r>
    <r>
      <rPr>
        <b/>
        <sz val="10"/>
        <rFont val="宋体"/>
        <family val="0"/>
      </rPr>
      <t>的投资率数据计算投资率与人口增长率比值，计算结果见</t>
    </r>
    <r>
      <rPr>
        <b/>
        <sz val="10"/>
        <rFont val="Verdana"/>
        <family val="2"/>
      </rPr>
      <t>J</t>
    </r>
    <r>
      <rPr>
        <b/>
        <sz val="10"/>
        <rFont val="宋体"/>
        <family val="0"/>
      </rPr>
      <t>列。</t>
    </r>
  </si>
  <si>
    <r>
      <t>（</t>
    </r>
    <r>
      <rPr>
        <b/>
        <sz val="10"/>
        <rFont val="Verdana"/>
        <family val="2"/>
      </rPr>
      <t>4</t>
    </r>
    <r>
      <rPr>
        <b/>
        <sz val="10"/>
        <rFont val="宋体"/>
        <family val="0"/>
      </rPr>
      <t>）根据列</t>
    </r>
    <r>
      <rPr>
        <b/>
        <sz val="10"/>
        <rFont val="Verdana"/>
        <family val="2"/>
      </rPr>
      <t>J</t>
    </r>
    <r>
      <rPr>
        <b/>
        <sz val="10"/>
        <rFont val="宋体"/>
        <family val="0"/>
      </rPr>
      <t>、</t>
    </r>
    <r>
      <rPr>
        <b/>
        <sz val="10"/>
        <rFont val="Verdana"/>
        <family val="2"/>
      </rPr>
      <t>K</t>
    </r>
    <r>
      <rPr>
        <b/>
        <sz val="10"/>
        <rFont val="宋体"/>
        <family val="0"/>
      </rPr>
      <t>数据，计算以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年为基期的新增资本与新增人口比值，计算结果见列</t>
    </r>
    <r>
      <rPr>
        <b/>
        <sz val="10"/>
        <rFont val="Verdana"/>
        <family val="2"/>
      </rPr>
      <t>L</t>
    </r>
    <r>
      <rPr>
        <b/>
        <sz val="10"/>
        <rFont val="宋体"/>
        <family val="0"/>
      </rPr>
      <t>。列</t>
    </r>
    <r>
      <rPr>
        <b/>
        <sz val="10"/>
        <rFont val="Verdana"/>
        <family val="2"/>
      </rPr>
      <t>M</t>
    </r>
    <r>
      <rPr>
        <b/>
        <sz val="10"/>
        <rFont val="宋体"/>
        <family val="0"/>
      </rPr>
      <t>数据是经过四舍五入简化了的整数值。</t>
    </r>
  </si>
  <si>
    <r>
      <t>（</t>
    </r>
    <r>
      <rPr>
        <b/>
        <sz val="10"/>
        <rFont val="Verdana"/>
        <family val="2"/>
      </rPr>
      <t>5</t>
    </r>
    <r>
      <rPr>
        <b/>
        <sz val="10"/>
        <rFont val="宋体"/>
        <family val="0"/>
      </rPr>
      <t>）具体计算方法见表头“资料来源计算方法”行中的说明。其中</t>
    </r>
    <r>
      <rPr>
        <b/>
        <sz val="10"/>
        <rFont val="Verdana"/>
        <family val="2"/>
      </rPr>
      <t xml:space="preserve">t </t>
    </r>
    <r>
      <rPr>
        <b/>
        <sz val="10"/>
        <rFont val="宋体"/>
        <family val="0"/>
      </rPr>
      <t>表示年份或行号，其余字母皆表示列号。</t>
    </r>
  </si>
  <si>
    <t>（6）计算中对不同来源数据的使用原则是优先使用最新出版的数据。</t>
  </si>
  <si>
    <t xml:space="preserve">       ＝[（投资率/人口增长率）×（国内生产总值/人口）]＝（投资率/人口增长率）×人均国内生产总值</t>
  </si>
  <si>
    <t xml:space="preserve">   新增资本与新增人口比的基本公式是 新增资本/新增人口。计算它的推导公式是：（新增资本/新增人口）＝（投资/新增人口）＝[（投资率×国内生产总值）/(人口增长率×人口）]</t>
  </si>
  <si>
    <t>概念定义和计算思路：</t>
  </si>
  <si>
    <t xml:space="preserve">   新增资本指每年国内生产总值中用于形成资本、而非用于消费或净出口的部分。新增人口指每年净增加的人口。它们的比值表示如果不占用已有人口已有的资本</t>
  </si>
  <si>
    <t xml:space="preserve">       新增人口平均占有的社会为其新生产出来的资本数量，或者说社会在不动用原有人口的原有资本的前提下，为每一新增人口所生产并形成新资本的社会产品数量。</t>
  </si>
  <si>
    <t xml:space="preserve">   在现有统计资料范围内，具体计算使用了总投资数据，计算投资率时使用了支出法核算的国民生产总值。</t>
  </si>
  <si>
    <t>（7）原始数据保留的小数位与资料来源中相同。计算数据在本表中显示两位小数。使用者可以显示所需要的小数位。</t>
  </si>
  <si>
    <t>（8）原始数据保留的小数位与资料来源中相同。计算数据在本表中显示两位小数。使用者可以显示所需要的小数位。</t>
  </si>
  <si>
    <t>（9）没有考虑原始数据本身可能有的问题和误差。没有考虑国家统计部门非系统性、非系列性以及初步出版的出版的统计数据。</t>
  </si>
  <si>
    <t>2006</t>
  </si>
  <si>
    <r>
      <t xml:space="preserve">2. </t>
    </r>
    <r>
      <rPr>
        <b/>
        <sz val="10"/>
        <rFont val="宋体"/>
        <family val="0"/>
      </rPr>
      <t>年鉴</t>
    </r>
    <r>
      <rPr>
        <b/>
        <sz val="10"/>
        <rFont val="Verdana"/>
        <family val="2"/>
      </rPr>
      <t>2007</t>
    </r>
    <r>
      <rPr>
        <b/>
        <sz val="10"/>
        <rFont val="宋体"/>
        <family val="0"/>
      </rPr>
      <t>：中华人民共和国国家统计局，编，</t>
    </r>
    <r>
      <rPr>
        <b/>
        <sz val="10"/>
        <rFont val="Verdana"/>
        <family val="2"/>
      </rPr>
      <t>2007</t>
    </r>
    <r>
      <rPr>
        <b/>
        <sz val="10"/>
        <rFont val="宋体"/>
        <family val="0"/>
      </rPr>
      <t>，中国统计年鉴</t>
    </r>
    <r>
      <rPr>
        <b/>
        <sz val="10"/>
        <rFont val="Verdana"/>
        <family val="2"/>
      </rPr>
      <t>-2007</t>
    </r>
    <r>
      <rPr>
        <b/>
        <sz val="10"/>
        <rFont val="宋体"/>
        <family val="0"/>
      </rPr>
      <t>，北京：中国统计出版社。</t>
    </r>
  </si>
  <si>
    <t>年鉴2007第60页</t>
  </si>
  <si>
    <t>年鉴2007第59页</t>
  </si>
  <si>
    <t>当年价格，元</t>
  </si>
  <si>
    <t>到1977年：L=100*L(t+1)/F(t+1)      从1979年：   L＝G(t)*L(t-1)/100</t>
  </si>
  <si>
    <r>
      <t>从1952到1977年：J=D/D</t>
    </r>
    <r>
      <rPr>
        <b/>
        <sz val="8"/>
        <rFont val="宋体"/>
        <family val="0"/>
      </rPr>
      <t>(1978)*100</t>
    </r>
    <r>
      <rPr>
        <b/>
        <sz val="11"/>
        <rFont val="宋体"/>
        <family val="0"/>
      </rPr>
      <t xml:space="preserve">         从1978年：      J＝E</t>
    </r>
  </si>
  <si>
    <t>年鉴2007第57页</t>
  </si>
  <si>
    <t>年鉴2007第72页</t>
  </si>
  <si>
    <r>
      <t>中国人均国内生产总值，</t>
    </r>
    <r>
      <rPr>
        <b/>
        <sz val="12"/>
        <rFont val="Verdana"/>
        <family val="2"/>
      </rPr>
      <t>1952</t>
    </r>
    <r>
      <rPr>
        <b/>
        <sz val="12"/>
        <rFont val="宋体"/>
        <family val="0"/>
      </rPr>
      <t>－</t>
    </r>
    <r>
      <rPr>
        <b/>
        <sz val="12"/>
        <rFont val="Verdana"/>
        <family val="2"/>
      </rPr>
      <t>2006</t>
    </r>
  </si>
  <si>
    <r>
      <t>中国新增资本与新增人口比值，</t>
    </r>
    <r>
      <rPr>
        <b/>
        <sz val="12"/>
        <rFont val="Verdana"/>
        <family val="2"/>
      </rPr>
      <t>1952</t>
    </r>
    <r>
      <rPr>
        <b/>
        <sz val="12"/>
        <rFont val="宋体"/>
        <family val="0"/>
      </rPr>
      <t>－</t>
    </r>
    <r>
      <rPr>
        <b/>
        <sz val="12"/>
        <rFont val="Verdana"/>
        <family val="2"/>
      </rPr>
      <t>2006</t>
    </r>
  </si>
  <si>
    <r>
      <t>（</t>
    </r>
    <r>
      <rPr>
        <b/>
        <sz val="10"/>
        <rFont val="Verdana"/>
        <family val="2"/>
      </rPr>
      <t>1</t>
    </r>
    <r>
      <rPr>
        <b/>
        <sz val="10"/>
        <rFont val="宋体"/>
        <family val="0"/>
      </rPr>
      <t>）计算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年＝</t>
    </r>
    <r>
      <rPr>
        <b/>
        <sz val="10"/>
        <rFont val="Verdana"/>
        <family val="2"/>
      </rPr>
      <t>100</t>
    </r>
    <r>
      <rPr>
        <b/>
        <sz val="10"/>
        <rFont val="宋体"/>
        <family val="0"/>
      </rPr>
      <t>时</t>
    </r>
    <r>
      <rPr>
        <b/>
        <sz val="10"/>
        <rFont val="Verdana"/>
        <family val="2"/>
      </rPr>
      <t>1952</t>
    </r>
    <r>
      <rPr>
        <b/>
        <sz val="10"/>
        <rFont val="宋体"/>
        <family val="0"/>
      </rPr>
      <t>－</t>
    </r>
    <r>
      <rPr>
        <b/>
        <sz val="10"/>
        <rFont val="Verdana"/>
        <family val="2"/>
      </rPr>
      <t>2006</t>
    </r>
    <r>
      <rPr>
        <b/>
        <sz val="10"/>
        <rFont val="宋体"/>
        <family val="0"/>
      </rPr>
      <t>年的人均国内生产总值指数，计算结果见列</t>
    </r>
    <r>
      <rPr>
        <b/>
        <sz val="10"/>
        <rFont val="Verdana"/>
        <family val="2"/>
      </rPr>
      <t>J</t>
    </r>
    <r>
      <rPr>
        <b/>
        <sz val="10"/>
        <rFont val="宋体"/>
        <family val="0"/>
      </rPr>
      <t>。</t>
    </r>
  </si>
  <si>
    <r>
      <t>（</t>
    </r>
    <r>
      <rPr>
        <b/>
        <sz val="10"/>
        <rFont val="Verdana"/>
        <family val="2"/>
      </rPr>
      <t>2</t>
    </r>
    <r>
      <rPr>
        <b/>
        <sz val="10"/>
        <rFont val="宋体"/>
        <family val="0"/>
      </rPr>
      <t>）根据列</t>
    </r>
    <r>
      <rPr>
        <b/>
        <sz val="10"/>
        <rFont val="Verdana"/>
        <family val="2"/>
      </rPr>
      <t>I</t>
    </r>
    <r>
      <rPr>
        <b/>
        <sz val="10"/>
        <rFont val="宋体"/>
        <family val="0"/>
      </rPr>
      <t>中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年当年价格的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年人均国内生产总值和列</t>
    </r>
    <r>
      <rPr>
        <b/>
        <sz val="10"/>
        <rFont val="Verdana"/>
        <family val="2"/>
      </rPr>
      <t>J</t>
    </r>
    <r>
      <rPr>
        <b/>
        <sz val="10"/>
        <rFont val="宋体"/>
        <family val="0"/>
      </rPr>
      <t>中以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年为基期的指数数据，计算</t>
    </r>
    <r>
      <rPr>
        <b/>
        <sz val="10"/>
        <rFont val="Verdana"/>
        <family val="2"/>
      </rPr>
      <t>1952</t>
    </r>
    <r>
      <rPr>
        <b/>
        <sz val="10"/>
        <rFont val="宋体"/>
        <family val="0"/>
      </rPr>
      <t>－</t>
    </r>
    <r>
      <rPr>
        <b/>
        <sz val="10"/>
        <rFont val="Verdana"/>
        <family val="2"/>
      </rPr>
      <t>2006</t>
    </r>
    <r>
      <rPr>
        <b/>
        <sz val="10"/>
        <rFont val="宋体"/>
        <family val="0"/>
      </rPr>
      <t>年的以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年为基期的人均国内生产总值，计算结果见列</t>
    </r>
    <r>
      <rPr>
        <b/>
        <sz val="10"/>
        <rFont val="Verdana"/>
        <family val="2"/>
      </rPr>
      <t>K</t>
    </r>
    <r>
      <rPr>
        <b/>
        <sz val="10"/>
        <rFont val="宋体"/>
        <family val="0"/>
      </rPr>
      <t>。</t>
    </r>
  </si>
  <si>
    <r>
      <t>（</t>
    </r>
    <r>
      <rPr>
        <b/>
        <sz val="10"/>
        <rFont val="Verdana"/>
        <family val="2"/>
      </rPr>
      <t>3</t>
    </r>
    <r>
      <rPr>
        <b/>
        <sz val="10"/>
        <rFont val="宋体"/>
        <family val="0"/>
      </rPr>
      <t>）根据列</t>
    </r>
    <r>
      <rPr>
        <b/>
        <sz val="10"/>
        <rFont val="Verdana"/>
        <family val="2"/>
      </rPr>
      <t>I</t>
    </r>
    <r>
      <rPr>
        <b/>
        <sz val="10"/>
        <rFont val="宋体"/>
        <family val="0"/>
      </rPr>
      <t>中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年当年价格的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年人均国内生产总值数据和列</t>
    </r>
    <r>
      <rPr>
        <b/>
        <sz val="10"/>
        <rFont val="Verdana"/>
        <family val="2"/>
      </rPr>
      <t>F</t>
    </r>
    <r>
      <rPr>
        <b/>
        <sz val="10"/>
        <rFont val="宋体"/>
        <family val="0"/>
      </rPr>
      <t>、</t>
    </r>
    <r>
      <rPr>
        <b/>
        <sz val="10"/>
        <rFont val="Verdana"/>
        <family val="2"/>
      </rPr>
      <t>G</t>
    </r>
    <r>
      <rPr>
        <b/>
        <sz val="10"/>
        <rFont val="宋体"/>
        <family val="0"/>
      </rPr>
      <t>的环比指数，计算</t>
    </r>
    <r>
      <rPr>
        <b/>
        <sz val="10"/>
        <rFont val="Verdana"/>
        <family val="2"/>
      </rPr>
      <t>1952</t>
    </r>
    <r>
      <rPr>
        <b/>
        <sz val="10"/>
        <rFont val="宋体"/>
        <family val="0"/>
      </rPr>
      <t>－</t>
    </r>
    <r>
      <rPr>
        <b/>
        <sz val="10"/>
        <rFont val="Verdana"/>
        <family val="2"/>
      </rPr>
      <t>2006</t>
    </r>
    <r>
      <rPr>
        <b/>
        <sz val="10"/>
        <rFont val="宋体"/>
        <family val="0"/>
      </rPr>
      <t>年的以</t>
    </r>
    <r>
      <rPr>
        <b/>
        <sz val="10"/>
        <rFont val="Verdana"/>
        <family val="2"/>
      </rPr>
      <t>1978</t>
    </r>
    <r>
      <rPr>
        <b/>
        <sz val="10"/>
        <rFont val="宋体"/>
        <family val="0"/>
      </rPr>
      <t>年为基期的人均国内生产总值，计算结果见列</t>
    </r>
    <r>
      <rPr>
        <b/>
        <sz val="10"/>
        <rFont val="Verdana"/>
        <family val="2"/>
      </rPr>
      <t>L</t>
    </r>
    <r>
      <rPr>
        <b/>
        <sz val="10"/>
        <rFont val="宋体"/>
        <family val="0"/>
      </rPr>
      <t>。</t>
    </r>
  </si>
  <si>
    <t xml:space="preserve">   表的计算结果，本表计算了以1978年价格为基础的1952到2006年中国新增资本与新增人口比值</t>
  </si>
  <si>
    <t>K=J*381/100</t>
  </si>
  <si>
    <t>统计汇编 1949-2004 从2005：年鉴2007第105页</t>
  </si>
  <si>
    <t>统计汇编 1949-2004 从2005：年鉴2007第72页</t>
  </si>
  <si>
    <t>中国国家统计局公布了用当年价格计算的中国人均国内生产总值、以可比价格计算的中国人均国内生产总值的基期指数和环比指数。根据这些数据，本表计算了以1978年价格为基础的1952到2006年的中国人均国内生产总值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</si>
</sst>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0"/>
    <numFmt numFmtId="183" formatCode="0.0000"/>
    <numFmt numFmtId="184" formatCode="0.0_);[Red]\(0.0\)"/>
    <numFmt numFmtId="185" formatCode="0.0000000"/>
    <numFmt numFmtId="186" formatCode="0.000000"/>
    <numFmt numFmtId="187" formatCode="0.00_);[Red]\(0.0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.0000000000000000_);[Red]\(0.0000000000000000\)"/>
    <numFmt numFmtId="202" formatCode="0.00_ "/>
    <numFmt numFmtId="203" formatCode="0.00000_ "/>
    <numFmt numFmtId="204" formatCode="0.0000_ "/>
    <numFmt numFmtId="205" formatCode="0.000_ "/>
    <numFmt numFmtId="206" formatCode="0.0_ "/>
    <numFmt numFmtId="207" formatCode="0_ "/>
    <numFmt numFmtId="208" formatCode="0.000000_ "/>
    <numFmt numFmtId="209" formatCode="0.0000000_ "/>
    <numFmt numFmtId="210" formatCode="0.00000000_ "/>
  </numFmts>
  <fonts count="1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color indexed="53"/>
      <name val="Verdana"/>
      <family val="2"/>
    </font>
    <font>
      <b/>
      <sz val="11"/>
      <name val="宋体"/>
      <family val="0"/>
    </font>
    <font>
      <sz val="16.75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02" fontId="7" fillId="0" borderId="1" xfId="0" applyNumberFormat="1" applyFont="1" applyBorder="1" applyAlignment="1">
      <alignment horizontal="right" vertical="center"/>
    </xf>
    <xf numFmtId="207" fontId="7" fillId="0" borderId="1" xfId="0" applyNumberFormat="1" applyFont="1" applyBorder="1" applyAlignment="1">
      <alignment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0" fontId="9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right" vertical="center"/>
    </xf>
    <xf numFmtId="202" fontId="6" fillId="3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202" fontId="7" fillId="0" borderId="1" xfId="0" applyNumberFormat="1" applyFont="1" applyBorder="1" applyAlignment="1">
      <alignment vertical="center"/>
    </xf>
    <xf numFmtId="49" fontId="7" fillId="0" borderId="1" xfId="16" applyNumberFormat="1" applyFont="1" applyFill="1" applyBorder="1" applyAlignment="1" applyProtection="1">
      <alignment horizontal="center" vertical="center"/>
      <protection locked="0"/>
    </xf>
    <xf numFmtId="206" fontId="7" fillId="0" borderId="1" xfId="0" applyNumberFormat="1" applyFont="1" applyBorder="1" applyAlignment="1">
      <alignment vertical="center"/>
    </xf>
    <xf numFmtId="49" fontId="6" fillId="3" borderId="1" xfId="16" applyNumberFormat="1" applyFont="1" applyFill="1" applyBorder="1" applyAlignment="1" applyProtection="1">
      <alignment horizontal="center" vertical="center"/>
      <protection locked="0"/>
    </xf>
    <xf numFmtId="202" fontId="6" fillId="3" borderId="1" xfId="0" applyNumberFormat="1" applyFont="1" applyFill="1" applyBorder="1" applyAlignment="1">
      <alignment vertical="center"/>
    </xf>
    <xf numFmtId="206" fontId="6" fillId="3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02" fontId="7" fillId="0" borderId="0" xfId="0" applyNumberFormat="1" applyFont="1" applyBorder="1" applyAlignment="1">
      <alignment horizontal="right" vertical="center"/>
    </xf>
    <xf numFmtId="207" fontId="7" fillId="0" borderId="0" xfId="0" applyNumberFormat="1" applyFont="1" applyBorder="1" applyAlignment="1">
      <alignment vertical="center"/>
    </xf>
    <xf numFmtId="202" fontId="7" fillId="0" borderId="0" xfId="0" applyNumberFormat="1" applyFont="1" applyBorder="1" applyAlignment="1">
      <alignment vertical="center"/>
    </xf>
    <xf numFmtId="207" fontId="6" fillId="3" borderId="1" xfId="0" applyNumberFormat="1" applyFont="1" applyFill="1" applyBorder="1" applyAlignment="1">
      <alignment horizontal="right" vertical="center"/>
    </xf>
    <xf numFmtId="207" fontId="6" fillId="3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1" fontId="6" fillId="3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right" vertical="center"/>
    </xf>
    <xf numFmtId="176" fontId="6" fillId="3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right" vertical="center"/>
      <protection locked="0"/>
    </xf>
    <xf numFmtId="202" fontId="7" fillId="0" borderId="3" xfId="0" applyNumberFormat="1" applyFont="1" applyFill="1" applyBorder="1" applyAlignment="1" applyProtection="1">
      <alignment horizontal="right" vertical="center"/>
      <protection locked="0"/>
    </xf>
    <xf numFmtId="202" fontId="6" fillId="3" borderId="3" xfId="0" applyNumberFormat="1" applyFont="1" applyFill="1" applyBorder="1" applyAlignment="1" applyProtection="1">
      <alignment horizontal="right" vertical="center"/>
      <protection locked="0"/>
    </xf>
    <xf numFmtId="202" fontId="7" fillId="0" borderId="2" xfId="0" applyNumberFormat="1" applyFont="1" applyBorder="1" applyAlignment="1">
      <alignment vertical="center"/>
    </xf>
    <xf numFmtId="202" fontId="6" fillId="3" borderId="2" xfId="0" applyNumberFormat="1" applyFont="1" applyFill="1" applyBorder="1" applyAlignment="1">
      <alignment vertical="center"/>
    </xf>
    <xf numFmtId="207" fontId="7" fillId="0" borderId="1" xfId="16" applyNumberFormat="1" applyFont="1" applyFill="1" applyBorder="1" applyAlignment="1" applyProtection="1">
      <alignment horizontal="right" vertical="center"/>
      <protection locked="0"/>
    </xf>
    <xf numFmtId="202" fontId="7" fillId="0" borderId="3" xfId="16" applyNumberFormat="1" applyFont="1" applyFill="1" applyBorder="1" applyAlignment="1" applyProtection="1">
      <alignment horizontal="right" vertical="center"/>
      <protection locked="0"/>
    </xf>
    <xf numFmtId="207" fontId="6" fillId="3" borderId="1" xfId="16" applyNumberFormat="1" applyFont="1" applyFill="1" applyBorder="1" applyAlignment="1" applyProtection="1">
      <alignment horizontal="right" vertical="center"/>
      <protection locked="0"/>
    </xf>
    <xf numFmtId="202" fontId="6" fillId="3" borderId="3" xfId="16" applyNumberFormat="1" applyFont="1" applyFill="1" applyBorder="1" applyAlignment="1" applyProtection="1">
      <alignment horizontal="right" vertical="center"/>
      <protection locked="0"/>
    </xf>
    <xf numFmtId="202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75" b="0" i="0" u="none" baseline="0">
                <a:latin typeface="宋体"/>
                <a:ea typeface="宋体"/>
                <a:cs typeface="宋体"/>
              </a:rPr>
              <a:t>    中国：新增资本与新增人口之比，1952-2006年
元                                                     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275"/>
          <c:w val="0.985"/>
          <c:h val="0.7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'新增资本新增人口比值'!$L$12:$L$66</c:f>
              <c:numCache>
                <c:ptCount val="55"/>
                <c:pt idx="0">
                  <c:v>1511.4719961064864</c:v>
                </c:pt>
                <c:pt idx="1">
                  <c:v>1589.6838115862013</c:v>
                </c:pt>
                <c:pt idx="2">
                  <c:v>1631.4237053895606</c:v>
                </c:pt>
                <c:pt idx="3">
                  <c:v>1908.6702201028747</c:v>
                </c:pt>
                <c:pt idx="4">
                  <c:v>2240.4783804689346</c:v>
                </c:pt>
                <c:pt idx="5">
                  <c:v>2066.324943122408</c:v>
                </c:pt>
                <c:pt idx="6">
                  <c:v>4338.3372257825395</c:v>
                </c:pt>
                <c:pt idx="7">
                  <c:v>10025.20731120835</c:v>
                </c:pt>
                <c:pt idx="8">
                  <c:v>-19799.80163222025</c:v>
                </c:pt>
                <c:pt idx="9">
                  <c:v>9927.76896040896</c:v>
                </c:pt>
                <c:pt idx="10">
                  <c:v>914.1585297441686</c:v>
                </c:pt>
                <c:pt idx="11">
                  <c:v>1079.5778561356433</c:v>
                </c:pt>
                <c:pt idx="12">
                  <c:v>1780.0846693274311</c:v>
                </c:pt>
                <c:pt idx="13">
                  <c:v>2313.4650128608823</c:v>
                </c:pt>
                <c:pt idx="14">
                  <c:v>2965.4866439835528</c:v>
                </c:pt>
                <c:pt idx="15">
                  <c:v>2237.5020939666624</c:v>
                </c:pt>
                <c:pt idx="16">
                  <c:v>1976.6302651427566</c:v>
                </c:pt>
                <c:pt idx="17">
                  <c:v>2442.0394341048263</c:v>
                </c:pt>
                <c:pt idx="18">
                  <c:v>3694.2629673185247</c:v>
                </c:pt>
                <c:pt idx="19">
                  <c:v>4320.032032795232</c:v>
                </c:pt>
                <c:pt idx="20">
                  <c:v>4334.071640088606</c:v>
                </c:pt>
                <c:pt idx="21">
                  <c:v>5089.335959082766</c:v>
                </c:pt>
                <c:pt idx="22">
                  <c:v>6152.488256628642</c:v>
                </c:pt>
                <c:pt idx="23">
                  <c:v>7710.5909705518225</c:v>
                </c:pt>
                <c:pt idx="24">
                  <c:v>8580.104187645287</c:v>
                </c:pt>
                <c:pt idx="25">
                  <c:v>9940.803930623642</c:v>
                </c:pt>
                <c:pt idx="26">
                  <c:v>12128.5</c:v>
                </c:pt>
                <c:pt idx="27">
                  <c:v>12569.422997416019</c:v>
                </c:pt>
                <c:pt idx="28">
                  <c:v>12621.914044650379</c:v>
                </c:pt>
                <c:pt idx="29">
                  <c:v>9995.501369548969</c:v>
                </c:pt>
                <c:pt idx="30">
                  <c:v>9782.363122180639</c:v>
                </c:pt>
                <c:pt idx="31">
                  <c:v>12969.121541010776</c:v>
                </c:pt>
                <c:pt idx="32">
                  <c:v>15622.523491062984</c:v>
                </c:pt>
                <c:pt idx="33">
                  <c:v>17865.650949901254</c:v>
                </c:pt>
                <c:pt idx="34">
                  <c:v>17267.31039456521</c:v>
                </c:pt>
                <c:pt idx="35">
                  <c:v>17201.865523985947</c:v>
                </c:pt>
                <c:pt idx="36">
                  <c:v>20276.62846016065</c:v>
                </c:pt>
                <c:pt idx="37">
                  <c:v>21499.383853143754</c:v>
                </c:pt>
                <c:pt idx="38">
                  <c:v>21922.683709581976</c:v>
                </c:pt>
                <c:pt idx="39">
                  <c:v>26101.95578110367</c:v>
                </c:pt>
                <c:pt idx="40">
                  <c:v>34654.79776997716</c:v>
                </c:pt>
                <c:pt idx="41">
                  <c:v>46045.11308528175</c:v>
                </c:pt>
                <c:pt idx="42">
                  <c:v>49992.81558558758</c:v>
                </c:pt>
                <c:pt idx="43">
                  <c:v>57989.591029882526</c:v>
                </c:pt>
                <c:pt idx="44">
                  <c:v>61546.244720471295</c:v>
                </c:pt>
                <c:pt idx="45">
                  <c:v>65237.30011764908</c:v>
                </c:pt>
                <c:pt idx="46">
                  <c:v>75647.83855236534</c:v>
                </c:pt>
                <c:pt idx="47">
                  <c:v>90181.14698329057</c:v>
                </c:pt>
                <c:pt idx="48">
                  <c:v>102107.6984220647</c:v>
                </c:pt>
                <c:pt idx="49">
                  <c:v>123789.17654669675</c:v>
                </c:pt>
                <c:pt idx="50">
                  <c:v>150105.18637085866</c:v>
                </c:pt>
                <c:pt idx="51">
                  <c:v>190524.25590979203</c:v>
                </c:pt>
                <c:pt idx="52">
                  <c:v>224882.11837886737</c:v>
                </c:pt>
                <c:pt idx="53">
                  <c:v>242969.52461799665</c:v>
                </c:pt>
                <c:pt idx="54">
                  <c:v>298358.8541666666</c:v>
                </c:pt>
              </c:numCache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宋体"/>
                    <a:ea typeface="宋体"/>
                    <a:cs typeface="宋体"/>
                  </a:rPr>
                  <a:t>1952-2006年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63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619125</xdr:colOff>
      <xdr:row>4</xdr:row>
      <xdr:rowOff>152400</xdr:rowOff>
    </xdr:from>
    <xdr:to>
      <xdr:col>11</xdr:col>
      <xdr:colOff>219075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1304925" y="87630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workbookViewId="0" topLeftCell="A40">
      <selection activeCell="H65" sqref="H65"/>
    </sheetView>
  </sheetViews>
  <sheetFormatPr defaultColWidth="9.00390625" defaultRowHeight="14.25"/>
  <cols>
    <col min="1" max="1" width="9.00390625" style="7" customWidth="1"/>
    <col min="2" max="2" width="14.50390625" style="7" customWidth="1"/>
    <col min="3" max="3" width="14.00390625" style="7" customWidth="1"/>
    <col min="4" max="4" width="12.125" style="7" customWidth="1"/>
    <col min="5" max="5" width="11.375" style="7" customWidth="1"/>
    <col min="6" max="8" width="13.125" style="7" customWidth="1"/>
    <col min="9" max="9" width="12.25390625" style="7" customWidth="1"/>
    <col min="10" max="10" width="14.00390625" style="7" customWidth="1"/>
    <col min="11" max="11" width="17.875" style="7" customWidth="1"/>
    <col min="12" max="12" width="15.375" style="7" customWidth="1"/>
    <col min="13" max="13" width="15.125" style="7" customWidth="1"/>
    <col min="14" max="14" width="13.75390625" style="7" customWidth="1"/>
    <col min="15" max="16384" width="9.00390625" style="7" customWidth="1"/>
  </cols>
  <sheetData>
    <row r="2" spans="1:11" ht="15">
      <c r="A2" s="69" t="s">
        <v>221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>
      <c r="A3" s="69" t="s">
        <v>144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.75">
      <c r="A4" s="45" t="s">
        <v>147</v>
      </c>
      <c r="B4" s="45"/>
      <c r="C4" s="45"/>
      <c r="D4" s="45"/>
      <c r="E4" s="45"/>
      <c r="F4" s="6"/>
      <c r="G4" s="6"/>
      <c r="H4" s="6"/>
      <c r="I4" s="6"/>
      <c r="J4" s="6"/>
      <c r="K4" s="6"/>
    </row>
    <row r="5" spans="1:11" ht="12.75">
      <c r="A5" s="27" t="s">
        <v>145</v>
      </c>
      <c r="B5" s="27"/>
      <c r="C5" s="27"/>
      <c r="D5" s="27"/>
      <c r="E5" s="27"/>
      <c r="F5" s="6"/>
      <c r="G5" s="6"/>
      <c r="H5" s="6"/>
      <c r="I5" s="6"/>
      <c r="J5" s="6"/>
      <c r="K5" s="6"/>
    </row>
    <row r="7" spans="1:14" ht="51" customHeight="1">
      <c r="A7" s="13" t="s">
        <v>127</v>
      </c>
      <c r="B7" s="49" t="s">
        <v>183</v>
      </c>
      <c r="C7" s="49" t="s">
        <v>184</v>
      </c>
      <c r="D7" s="49" t="s">
        <v>107</v>
      </c>
      <c r="E7" s="12" t="s">
        <v>107</v>
      </c>
      <c r="F7" s="12" t="s">
        <v>113</v>
      </c>
      <c r="G7" s="12" t="s">
        <v>114</v>
      </c>
      <c r="H7" s="12" t="s">
        <v>118</v>
      </c>
      <c r="I7" s="12" t="s">
        <v>119</v>
      </c>
      <c r="J7" s="12" t="s">
        <v>128</v>
      </c>
      <c r="K7" s="12" t="s">
        <v>129</v>
      </c>
      <c r="L7" s="12" t="s">
        <v>125</v>
      </c>
      <c r="M7" s="12" t="s">
        <v>141</v>
      </c>
      <c r="N7" s="12" t="s">
        <v>192</v>
      </c>
    </row>
    <row r="8" spans="1:14" ht="24" customHeight="1">
      <c r="A8" s="16" t="s">
        <v>87</v>
      </c>
      <c r="B8" s="16" t="s">
        <v>179</v>
      </c>
      <c r="C8" s="55" t="s">
        <v>152</v>
      </c>
      <c r="D8" s="50" t="s">
        <v>108</v>
      </c>
      <c r="E8" s="16" t="s">
        <v>109</v>
      </c>
      <c r="F8" s="16" t="s">
        <v>115</v>
      </c>
      <c r="G8" s="16" t="s">
        <v>115</v>
      </c>
      <c r="H8" s="16" t="s">
        <v>116</v>
      </c>
      <c r="I8" s="16" t="s">
        <v>116</v>
      </c>
      <c r="J8" s="16" t="s">
        <v>116</v>
      </c>
      <c r="K8" s="16" t="s">
        <v>143</v>
      </c>
      <c r="L8" s="16" t="s">
        <v>143</v>
      </c>
      <c r="M8" s="16" t="s">
        <v>143</v>
      </c>
      <c r="N8" s="16" t="s">
        <v>142</v>
      </c>
    </row>
    <row r="9" spans="1:14" ht="25.5" customHeight="1">
      <c r="A9" s="13" t="s">
        <v>92</v>
      </c>
      <c r="B9" s="13" t="s">
        <v>180</v>
      </c>
      <c r="C9" s="13" t="s">
        <v>180</v>
      </c>
      <c r="D9" s="49" t="s">
        <v>93</v>
      </c>
      <c r="E9" s="12" t="s">
        <v>111</v>
      </c>
      <c r="F9" s="12" t="s">
        <v>93</v>
      </c>
      <c r="G9" s="12" t="s">
        <v>93</v>
      </c>
      <c r="H9" s="12" t="s">
        <v>111</v>
      </c>
      <c r="I9" s="12" t="s">
        <v>93</v>
      </c>
      <c r="J9" s="12" t="s">
        <v>111</v>
      </c>
      <c r="K9" s="12" t="s">
        <v>110</v>
      </c>
      <c r="L9" s="12" t="s">
        <v>110</v>
      </c>
      <c r="M9" s="12" t="s">
        <v>110</v>
      </c>
      <c r="N9" s="13" t="s">
        <v>94</v>
      </c>
    </row>
    <row r="10" spans="1:14" ht="71.25" customHeight="1">
      <c r="A10" s="12" t="s">
        <v>112</v>
      </c>
      <c r="B10" s="12" t="s">
        <v>181</v>
      </c>
      <c r="C10" s="54" t="s">
        <v>182</v>
      </c>
      <c r="D10" s="49" t="s">
        <v>227</v>
      </c>
      <c r="E10" s="12" t="s">
        <v>185</v>
      </c>
      <c r="F10" s="12" t="s">
        <v>228</v>
      </c>
      <c r="G10" s="12" t="s">
        <v>228</v>
      </c>
      <c r="H10" s="12" t="s">
        <v>186</v>
      </c>
      <c r="I10" s="12" t="s">
        <v>219</v>
      </c>
      <c r="J10" s="12" t="s">
        <v>187</v>
      </c>
      <c r="K10" s="12" t="s">
        <v>188</v>
      </c>
      <c r="L10" s="12" t="s">
        <v>189</v>
      </c>
      <c r="M10" s="13" t="s">
        <v>190</v>
      </c>
      <c r="N10" s="12" t="s">
        <v>191</v>
      </c>
    </row>
    <row r="11" spans="1:14" ht="18.75" customHeight="1">
      <c r="A11" s="16" t="s">
        <v>96</v>
      </c>
      <c r="B11" s="50" t="s">
        <v>97</v>
      </c>
      <c r="C11" s="16" t="s">
        <v>98</v>
      </c>
      <c r="D11" s="16" t="s">
        <v>121</v>
      </c>
      <c r="E11" s="16" t="s">
        <v>122</v>
      </c>
      <c r="F11" s="16" t="s">
        <v>117</v>
      </c>
      <c r="G11" s="16" t="s">
        <v>120</v>
      </c>
      <c r="H11" s="16" t="s">
        <v>123</v>
      </c>
      <c r="I11" s="16" t="s">
        <v>124</v>
      </c>
      <c r="J11" s="16" t="s">
        <v>126</v>
      </c>
      <c r="K11" s="16" t="s">
        <v>139</v>
      </c>
      <c r="L11" s="17" t="s">
        <v>140</v>
      </c>
      <c r="M11" s="16" t="s">
        <v>194</v>
      </c>
      <c r="N11" s="17" t="s">
        <v>195</v>
      </c>
    </row>
    <row r="12" spans="1:14" ht="15">
      <c r="A12" s="30" t="s">
        <v>0</v>
      </c>
      <c r="B12" s="63">
        <v>1511.4719961064864</v>
      </c>
      <c r="C12" s="64"/>
      <c r="D12" s="61">
        <v>20</v>
      </c>
      <c r="E12" s="29">
        <f>+D12/10</f>
        <v>2</v>
      </c>
      <c r="F12" s="31">
        <v>692.2</v>
      </c>
      <c r="G12" s="31">
        <v>153.7</v>
      </c>
      <c r="H12" s="29">
        <f>G12/F12*100</f>
        <v>22.204565154579598</v>
      </c>
      <c r="I12" s="31"/>
      <c r="J12" s="29">
        <f>+H12/E12</f>
        <v>11.102282577289799</v>
      </c>
      <c r="K12" s="29">
        <v>136.14065266166688</v>
      </c>
      <c r="L12" s="29">
        <f>+J12*K12</f>
        <v>1511.4719961064864</v>
      </c>
      <c r="M12" s="15">
        <v>1511.4719961064864</v>
      </c>
      <c r="N12" s="29"/>
    </row>
    <row r="13" spans="1:14" ht="15">
      <c r="A13" s="30" t="s">
        <v>1</v>
      </c>
      <c r="B13" s="63">
        <v>1589.6838115862013</v>
      </c>
      <c r="C13" s="64">
        <v>5.174546116711826</v>
      </c>
      <c r="D13" s="61">
        <v>23</v>
      </c>
      <c r="E13" s="29">
        <f aca="true" t="shared" si="0" ref="E13:E66">+D13/10</f>
        <v>2.3</v>
      </c>
      <c r="F13" s="31">
        <v>834.3</v>
      </c>
      <c r="G13" s="31">
        <v>198.3</v>
      </c>
      <c r="H13" s="29">
        <f aca="true" t="shared" si="1" ref="H13:H66">G13/F13*100</f>
        <v>23.768428622797558</v>
      </c>
      <c r="I13" s="31"/>
      <c r="J13" s="29">
        <f aca="true" t="shared" si="2" ref="J13:J37">+H13/E13</f>
        <v>10.33409940121633</v>
      </c>
      <c r="K13" s="29">
        <v>153.8289646603452</v>
      </c>
      <c r="L13" s="29">
        <f aca="true" t="shared" si="3" ref="L13:L66">+J13*K13</f>
        <v>1589.6838115862013</v>
      </c>
      <c r="M13" s="15">
        <v>1589.6838115862013</v>
      </c>
      <c r="N13" s="29">
        <f>(L13-L12)/L12*100</f>
        <v>5.174546116711826</v>
      </c>
    </row>
    <row r="14" spans="1:14" ht="15">
      <c r="A14" s="30" t="s">
        <v>2</v>
      </c>
      <c r="B14" s="63">
        <v>1631.4237053895606</v>
      </c>
      <c r="C14" s="64">
        <v>2.6256726966170008</v>
      </c>
      <c r="D14" s="61">
        <v>24.79</v>
      </c>
      <c r="E14" s="29">
        <f t="shared" si="0"/>
        <v>2.479</v>
      </c>
      <c r="F14" s="31">
        <v>878.3</v>
      </c>
      <c r="G14" s="31">
        <v>226.9</v>
      </c>
      <c r="H14" s="29">
        <f t="shared" si="1"/>
        <v>25.83399749516111</v>
      </c>
      <c r="I14" s="31"/>
      <c r="J14" s="29">
        <f t="shared" si="2"/>
        <v>10.421136545042803</v>
      </c>
      <c r="K14" s="29">
        <v>156.5494990242314</v>
      </c>
      <c r="L14" s="29">
        <f t="shared" si="3"/>
        <v>1631.4237053895606</v>
      </c>
      <c r="M14" s="15">
        <v>1631.4237053895606</v>
      </c>
      <c r="N14" s="29">
        <f aca="true" t="shared" si="4" ref="N14:N66">(L14-L13)/L13*100</f>
        <v>2.6256726966170008</v>
      </c>
    </row>
    <row r="15" spans="1:14" ht="15">
      <c r="A15" s="30" t="s">
        <v>3</v>
      </c>
      <c r="B15" s="63">
        <v>1908.6702201028747</v>
      </c>
      <c r="C15" s="64">
        <v>16.994145285336014</v>
      </c>
      <c r="D15" s="61">
        <v>20.32</v>
      </c>
      <c r="E15" s="29">
        <f t="shared" si="0"/>
        <v>2.032</v>
      </c>
      <c r="F15" s="31">
        <v>934.9</v>
      </c>
      <c r="G15" s="31">
        <v>221.5</v>
      </c>
      <c r="H15" s="29">
        <f t="shared" si="1"/>
        <v>23.692373515884054</v>
      </c>
      <c r="I15" s="31"/>
      <c r="J15" s="29">
        <f t="shared" si="2"/>
        <v>11.65963263576971</v>
      </c>
      <c r="K15" s="29">
        <v>163.69900148032184</v>
      </c>
      <c r="L15" s="29">
        <f t="shared" si="3"/>
        <v>1908.6702201028747</v>
      </c>
      <c r="M15" s="15">
        <v>1908.6702201028747</v>
      </c>
      <c r="N15" s="29">
        <f t="shared" si="4"/>
        <v>16.994145285336014</v>
      </c>
    </row>
    <row r="16" spans="1:14" ht="15">
      <c r="A16" s="30" t="s">
        <v>4</v>
      </c>
      <c r="B16" s="63">
        <v>2240.4783804689346</v>
      </c>
      <c r="C16" s="64">
        <v>17.38425825851549</v>
      </c>
      <c r="D16" s="61">
        <v>20.5</v>
      </c>
      <c r="E16" s="29">
        <f t="shared" si="0"/>
        <v>2.05</v>
      </c>
      <c r="F16" s="31">
        <v>1034.2</v>
      </c>
      <c r="G16" s="31">
        <v>257.6</v>
      </c>
      <c r="H16" s="29">
        <f t="shared" si="1"/>
        <v>24.90814155869271</v>
      </c>
      <c r="I16" s="31"/>
      <c r="J16" s="29">
        <f t="shared" si="2"/>
        <v>12.150312955459858</v>
      </c>
      <c r="K16" s="29">
        <v>184.3967631683227</v>
      </c>
      <c r="L16" s="29">
        <f t="shared" si="3"/>
        <v>2240.4783804689346</v>
      </c>
      <c r="M16" s="15">
        <v>2240.4783804689346</v>
      </c>
      <c r="N16" s="29">
        <f t="shared" si="4"/>
        <v>17.38425825851549</v>
      </c>
    </row>
    <row r="17" spans="1:14" ht="15">
      <c r="A17" s="30" t="s">
        <v>5</v>
      </c>
      <c r="B17" s="63">
        <v>2066.324943122408</v>
      </c>
      <c r="C17" s="64">
        <v>-7.773046991423145</v>
      </c>
      <c r="D17" s="61">
        <v>23.23</v>
      </c>
      <c r="E17" s="29">
        <f t="shared" si="0"/>
        <v>2.323</v>
      </c>
      <c r="F17" s="31">
        <v>1101.9</v>
      </c>
      <c r="G17" s="31">
        <v>280</v>
      </c>
      <c r="H17" s="29">
        <f t="shared" si="1"/>
        <v>25.41065432434885</v>
      </c>
      <c r="I17" s="31"/>
      <c r="J17" s="29">
        <f t="shared" si="2"/>
        <v>10.938723342380047</v>
      </c>
      <c r="K17" s="29">
        <v>188.90000948436247</v>
      </c>
      <c r="L17" s="29">
        <f t="shared" si="3"/>
        <v>2066.324943122408</v>
      </c>
      <c r="M17" s="15">
        <v>2066.324943122408</v>
      </c>
      <c r="N17" s="29">
        <f t="shared" si="4"/>
        <v>-7.773046991423145</v>
      </c>
    </row>
    <row r="18" spans="1:14" ht="15">
      <c r="A18" s="30" t="s">
        <v>6</v>
      </c>
      <c r="B18" s="63">
        <v>4338.3372257825395</v>
      </c>
      <c r="C18" s="64">
        <v>109.95425914120315</v>
      </c>
      <c r="D18" s="61">
        <v>17.24</v>
      </c>
      <c r="E18" s="29">
        <f t="shared" si="0"/>
        <v>1.7239999999999998</v>
      </c>
      <c r="F18" s="31">
        <v>1291.2</v>
      </c>
      <c r="G18" s="31">
        <v>432</v>
      </c>
      <c r="H18" s="29">
        <f t="shared" si="1"/>
        <v>33.45724907063197</v>
      </c>
      <c r="I18" s="31"/>
      <c r="J18" s="29">
        <f t="shared" si="2"/>
        <v>19.406757001526667</v>
      </c>
      <c r="K18" s="29">
        <v>223.5477687200008</v>
      </c>
      <c r="L18" s="29">
        <f t="shared" si="3"/>
        <v>4338.3372257825395</v>
      </c>
      <c r="M18" s="15">
        <v>4338.3372257825395</v>
      </c>
      <c r="N18" s="29">
        <f t="shared" si="4"/>
        <v>109.95425914120315</v>
      </c>
    </row>
    <row r="19" spans="1:14" ht="15">
      <c r="A19" s="30" t="s">
        <v>7</v>
      </c>
      <c r="B19" s="63">
        <v>10025.20731120835</v>
      </c>
      <c r="C19" s="64">
        <v>131.08409488384174</v>
      </c>
      <c r="D19" s="61">
        <v>10.19</v>
      </c>
      <c r="E19" s="29">
        <f t="shared" si="0"/>
        <v>1.019</v>
      </c>
      <c r="F19" s="31">
        <v>1451.3</v>
      </c>
      <c r="G19" s="31">
        <v>621.7</v>
      </c>
      <c r="H19" s="29">
        <f t="shared" si="1"/>
        <v>42.837456073864814</v>
      </c>
      <c r="I19" s="31"/>
      <c r="J19" s="29">
        <f t="shared" si="2"/>
        <v>42.03872038652092</v>
      </c>
      <c r="K19" s="29">
        <v>238.47555822424084</v>
      </c>
      <c r="L19" s="29">
        <f t="shared" si="3"/>
        <v>10025.20731120835</v>
      </c>
      <c r="M19" s="15">
        <v>10025.20731120835</v>
      </c>
      <c r="N19" s="29">
        <f t="shared" si="4"/>
        <v>131.08409488384174</v>
      </c>
    </row>
    <row r="20" spans="1:14" ht="15">
      <c r="A20" s="30" t="s">
        <v>8</v>
      </c>
      <c r="B20" s="63">
        <v>-19799.80163222025</v>
      </c>
      <c r="C20" s="64">
        <v>-297.50017149354846</v>
      </c>
      <c r="D20" s="61">
        <v>-4.57</v>
      </c>
      <c r="E20" s="29">
        <f t="shared" si="0"/>
        <v>-0.457</v>
      </c>
      <c r="F20" s="31">
        <v>1508</v>
      </c>
      <c r="G20" s="31">
        <v>575</v>
      </c>
      <c r="H20" s="29">
        <f t="shared" si="1"/>
        <v>38.12997347480106</v>
      </c>
      <c r="I20" s="31"/>
      <c r="J20" s="29">
        <f t="shared" si="2"/>
        <v>-83.43539053566971</v>
      </c>
      <c r="K20" s="29">
        <v>237.30699293311966</v>
      </c>
      <c r="L20" s="29">
        <f t="shared" si="3"/>
        <v>-19799.80163222025</v>
      </c>
      <c r="M20" s="15">
        <v>-19799.80163222025</v>
      </c>
      <c r="N20" s="29">
        <f t="shared" si="4"/>
        <v>-297.50017149354846</v>
      </c>
    </row>
    <row r="21" spans="1:14" ht="15">
      <c r="A21" s="30" t="s">
        <v>9</v>
      </c>
      <c r="B21" s="63">
        <v>9927.76896040896</v>
      </c>
      <c r="C21" s="64">
        <v>-150.14074961364</v>
      </c>
      <c r="D21" s="61">
        <v>3.78</v>
      </c>
      <c r="E21" s="29">
        <f t="shared" si="0"/>
        <v>0.378</v>
      </c>
      <c r="F21" s="31">
        <v>1275.2</v>
      </c>
      <c r="G21" s="31">
        <v>274.6</v>
      </c>
      <c r="H21" s="29">
        <f t="shared" si="1"/>
        <v>21.53387703889586</v>
      </c>
      <c r="I21" s="31"/>
      <c r="J21" s="29">
        <f t="shared" si="2"/>
        <v>56.96792867432767</v>
      </c>
      <c r="K21" s="29">
        <v>174.26943881290984</v>
      </c>
      <c r="L21" s="29">
        <f t="shared" si="3"/>
        <v>9927.76896040896</v>
      </c>
      <c r="M21" s="15">
        <v>9927.76896040896</v>
      </c>
      <c r="N21" s="29">
        <f t="shared" si="4"/>
        <v>-150.14074961364</v>
      </c>
    </row>
    <row r="22" spans="1:14" ht="15">
      <c r="A22" s="30" t="s">
        <v>10</v>
      </c>
      <c r="B22" s="63">
        <v>914.1585297441686</v>
      </c>
      <c r="C22" s="64">
        <v>-90.79190366546854</v>
      </c>
      <c r="D22" s="61">
        <v>26.99</v>
      </c>
      <c r="E22" s="29">
        <f t="shared" si="0"/>
        <v>2.699</v>
      </c>
      <c r="F22" s="31">
        <v>1176.4</v>
      </c>
      <c r="G22" s="31">
        <v>178.1</v>
      </c>
      <c r="H22" s="29">
        <f t="shared" si="1"/>
        <v>15.139408364501868</v>
      </c>
      <c r="I22" s="31"/>
      <c r="J22" s="29">
        <f t="shared" si="2"/>
        <v>5.609265788996617</v>
      </c>
      <c r="K22" s="29">
        <v>162.9729387288836</v>
      </c>
      <c r="L22" s="29">
        <f t="shared" si="3"/>
        <v>914.1585297441686</v>
      </c>
      <c r="M22" s="15">
        <v>914.1585297441686</v>
      </c>
      <c r="N22" s="29">
        <f t="shared" si="4"/>
        <v>-90.79190366546854</v>
      </c>
    </row>
    <row r="23" spans="1:14" ht="15">
      <c r="A23" s="30" t="s">
        <v>11</v>
      </c>
      <c r="B23" s="63">
        <v>1079.5778561356433</v>
      </c>
      <c r="C23" s="64">
        <v>18.09525602061253</v>
      </c>
      <c r="D23" s="61">
        <v>33.33</v>
      </c>
      <c r="E23" s="29">
        <f t="shared" si="0"/>
        <v>3.3329999999999997</v>
      </c>
      <c r="F23" s="31">
        <v>1293.1</v>
      </c>
      <c r="G23" s="31">
        <v>265.3</v>
      </c>
      <c r="H23" s="29">
        <f t="shared" si="1"/>
        <v>20.516588044234787</v>
      </c>
      <c r="I23" s="31"/>
      <c r="J23" s="29">
        <f t="shared" si="2"/>
        <v>6.1555919724676835</v>
      </c>
      <c r="K23" s="29">
        <v>175.38164663354985</v>
      </c>
      <c r="L23" s="29">
        <f t="shared" si="3"/>
        <v>1079.5778561356433</v>
      </c>
      <c r="M23" s="15">
        <v>1079.5778561356433</v>
      </c>
      <c r="N23" s="29">
        <f t="shared" si="4"/>
        <v>18.09525602061253</v>
      </c>
    </row>
    <row r="24" spans="1:14" ht="15">
      <c r="A24" s="30" t="s">
        <v>12</v>
      </c>
      <c r="B24" s="63">
        <v>1780.0846693274311</v>
      </c>
      <c r="C24" s="64">
        <v>64.88710464099894</v>
      </c>
      <c r="D24" s="61">
        <v>27.64</v>
      </c>
      <c r="E24" s="29">
        <f t="shared" si="0"/>
        <v>2.7640000000000002</v>
      </c>
      <c r="F24" s="31">
        <v>1441.8</v>
      </c>
      <c r="G24" s="31">
        <v>350.3</v>
      </c>
      <c r="H24" s="29">
        <f t="shared" si="1"/>
        <v>24.296018865307257</v>
      </c>
      <c r="I24" s="31"/>
      <c r="J24" s="29">
        <f t="shared" si="2"/>
        <v>8.790166014944738</v>
      </c>
      <c r="K24" s="29">
        <v>202.50865186175008</v>
      </c>
      <c r="L24" s="29">
        <f t="shared" si="3"/>
        <v>1780.0846693274311</v>
      </c>
      <c r="M24" s="15">
        <v>1780.0846693274311</v>
      </c>
      <c r="N24" s="29">
        <f t="shared" si="4"/>
        <v>64.88710464099894</v>
      </c>
    </row>
    <row r="25" spans="1:14" ht="15">
      <c r="A25" s="30" t="s">
        <v>13</v>
      </c>
      <c r="B25" s="63">
        <v>2313.4650128608823</v>
      </c>
      <c r="C25" s="64">
        <v>29.963762551529538</v>
      </c>
      <c r="D25" s="61">
        <v>28.38</v>
      </c>
      <c r="E25" s="29">
        <f t="shared" si="0"/>
        <v>2.838</v>
      </c>
      <c r="F25" s="31">
        <v>1629.2</v>
      </c>
      <c r="G25" s="31">
        <v>462.1</v>
      </c>
      <c r="H25" s="29">
        <f t="shared" si="1"/>
        <v>28.36361404370243</v>
      </c>
      <c r="I25" s="31"/>
      <c r="J25" s="29">
        <f t="shared" si="2"/>
        <v>9.994226231043845</v>
      </c>
      <c r="K25" s="29">
        <v>231.48015257798033</v>
      </c>
      <c r="L25" s="29">
        <f t="shared" si="3"/>
        <v>2313.4650128608823</v>
      </c>
      <c r="M25" s="15">
        <v>2313.4650128608823</v>
      </c>
      <c r="N25" s="29">
        <f t="shared" si="4"/>
        <v>29.963762551529538</v>
      </c>
    </row>
    <row r="26" spans="1:14" ht="15">
      <c r="A26" s="30" t="s">
        <v>14</v>
      </c>
      <c r="B26" s="63">
        <v>2965.4866439835528</v>
      </c>
      <c r="C26" s="64">
        <v>28.183768827191642</v>
      </c>
      <c r="D26" s="61">
        <v>26.22</v>
      </c>
      <c r="E26" s="29">
        <f t="shared" si="0"/>
        <v>2.622</v>
      </c>
      <c r="F26" s="31">
        <v>1827.3</v>
      </c>
      <c r="G26" s="31">
        <v>569.8</v>
      </c>
      <c r="H26" s="29">
        <f t="shared" si="1"/>
        <v>31.182619164888088</v>
      </c>
      <c r="I26" s="31"/>
      <c r="J26" s="29">
        <f t="shared" si="2"/>
        <v>11.892684654800949</v>
      </c>
      <c r="K26" s="29">
        <v>249.35384482648482</v>
      </c>
      <c r="L26" s="29">
        <f t="shared" si="3"/>
        <v>2965.4866439835528</v>
      </c>
      <c r="M26" s="15">
        <v>2965.4866439835528</v>
      </c>
      <c r="N26" s="29">
        <f t="shared" si="4"/>
        <v>28.183768827191642</v>
      </c>
    </row>
    <row r="27" spans="1:14" ht="15">
      <c r="A27" s="30" t="s">
        <v>15</v>
      </c>
      <c r="B27" s="63">
        <v>2237.5020939666624</v>
      </c>
      <c r="C27" s="64">
        <v>-24.54856950692535</v>
      </c>
      <c r="D27" s="61">
        <v>25.53</v>
      </c>
      <c r="E27" s="29">
        <f t="shared" si="0"/>
        <v>2.553</v>
      </c>
      <c r="F27" s="31">
        <v>1707.7</v>
      </c>
      <c r="G27" s="31">
        <v>425.7</v>
      </c>
      <c r="H27" s="29">
        <f t="shared" si="1"/>
        <v>24.92826608889149</v>
      </c>
      <c r="I27" s="31"/>
      <c r="J27" s="29">
        <f t="shared" si="2"/>
        <v>9.7643032075564</v>
      </c>
      <c r="K27" s="29">
        <v>229.15123039553956</v>
      </c>
      <c r="L27" s="29">
        <f t="shared" si="3"/>
        <v>2237.5020939666624</v>
      </c>
      <c r="M27" s="15">
        <v>2237.5020939666624</v>
      </c>
      <c r="N27" s="29">
        <f t="shared" si="4"/>
        <v>-24.54856950692535</v>
      </c>
    </row>
    <row r="28" spans="1:14" ht="15">
      <c r="A28" s="30" t="s">
        <v>16</v>
      </c>
      <c r="B28" s="63">
        <v>1976.6302651427566</v>
      </c>
      <c r="C28" s="64">
        <v>-11.65906523740633</v>
      </c>
      <c r="D28" s="61">
        <v>27.38</v>
      </c>
      <c r="E28" s="29">
        <f t="shared" si="0"/>
        <v>2.738</v>
      </c>
      <c r="F28" s="31">
        <v>1708.7</v>
      </c>
      <c r="G28" s="31">
        <v>432.2</v>
      </c>
      <c r="H28" s="29">
        <f t="shared" si="1"/>
        <v>25.294083221162282</v>
      </c>
      <c r="I28" s="31"/>
      <c r="J28" s="29">
        <f t="shared" si="2"/>
        <v>9.238160416786808</v>
      </c>
      <c r="K28" s="29">
        <v>213.96362218943398</v>
      </c>
      <c r="L28" s="29">
        <f t="shared" si="3"/>
        <v>1976.6302651427566</v>
      </c>
      <c r="M28" s="15">
        <v>1976.6302651427566</v>
      </c>
      <c r="N28" s="29">
        <f t="shared" si="4"/>
        <v>-11.65906523740633</v>
      </c>
    </row>
    <row r="29" spans="1:14" ht="15">
      <c r="A29" s="30" t="s">
        <v>17</v>
      </c>
      <c r="B29" s="63">
        <v>2442.0394341048263</v>
      </c>
      <c r="C29" s="64">
        <v>23.545585493119873</v>
      </c>
      <c r="D29" s="61">
        <v>26.08</v>
      </c>
      <c r="E29" s="29">
        <f t="shared" si="0"/>
        <v>2.6079999999999997</v>
      </c>
      <c r="F29" s="31">
        <v>1857.7</v>
      </c>
      <c r="G29" s="31">
        <v>485.9</v>
      </c>
      <c r="H29" s="29">
        <f t="shared" si="1"/>
        <v>26.15599935403994</v>
      </c>
      <c r="I29" s="31"/>
      <c r="J29" s="29">
        <f t="shared" si="2"/>
        <v>10.029140856610407</v>
      </c>
      <c r="K29" s="29">
        <v>243.4943799293864</v>
      </c>
      <c r="L29" s="29">
        <f t="shared" si="3"/>
        <v>2442.0394341048263</v>
      </c>
      <c r="M29" s="15">
        <v>2442.0394341048263</v>
      </c>
      <c r="N29" s="29">
        <f t="shared" si="4"/>
        <v>23.545585493119873</v>
      </c>
    </row>
    <row r="30" spans="1:14" ht="15">
      <c r="A30" s="30" t="s">
        <v>18</v>
      </c>
      <c r="B30" s="63">
        <v>3694.2629673185247</v>
      </c>
      <c r="C30" s="64">
        <v>51.277776915700116</v>
      </c>
      <c r="D30" s="61">
        <v>25.83</v>
      </c>
      <c r="E30" s="29">
        <f t="shared" si="0"/>
        <v>2.5829999999999997</v>
      </c>
      <c r="F30" s="31">
        <v>2207</v>
      </c>
      <c r="G30" s="31">
        <v>744.9</v>
      </c>
      <c r="H30" s="29">
        <f t="shared" si="1"/>
        <v>33.751699139102854</v>
      </c>
      <c r="I30" s="31"/>
      <c r="J30" s="29">
        <f t="shared" si="2"/>
        <v>13.06685990673746</v>
      </c>
      <c r="K30" s="29">
        <v>282.7200255980176</v>
      </c>
      <c r="L30" s="29">
        <f t="shared" si="3"/>
        <v>3694.2629673185247</v>
      </c>
      <c r="M30" s="15">
        <v>3694.2629673185247</v>
      </c>
      <c r="N30" s="29">
        <f t="shared" si="4"/>
        <v>51.277776915700116</v>
      </c>
    </row>
    <row r="31" spans="1:14" ht="15">
      <c r="A31" s="30" t="s">
        <v>19</v>
      </c>
      <c r="B31" s="63">
        <v>4320.032032795232</v>
      </c>
      <c r="C31" s="64">
        <v>16.93894211139282</v>
      </c>
      <c r="D31" s="61">
        <v>23.33</v>
      </c>
      <c r="E31" s="29">
        <f t="shared" si="0"/>
        <v>2.3329999999999997</v>
      </c>
      <c r="F31" s="31">
        <v>2392.5</v>
      </c>
      <c r="G31" s="31">
        <v>819</v>
      </c>
      <c r="H31" s="29">
        <f t="shared" si="1"/>
        <v>34.23197492163009</v>
      </c>
      <c r="I31" s="31"/>
      <c r="J31" s="29">
        <f t="shared" si="2"/>
        <v>14.672942529631417</v>
      </c>
      <c r="K31" s="29">
        <v>294.42165564753634</v>
      </c>
      <c r="L31" s="29">
        <f t="shared" si="3"/>
        <v>4320.032032795232</v>
      </c>
      <c r="M31" s="15">
        <v>4320.032032795232</v>
      </c>
      <c r="N31" s="29">
        <f t="shared" si="4"/>
        <v>16.93894211139282</v>
      </c>
    </row>
    <row r="32" spans="1:14" ht="15">
      <c r="A32" s="30" t="s">
        <v>20</v>
      </c>
      <c r="B32" s="63">
        <v>4334.071640088606</v>
      </c>
      <c r="C32" s="64">
        <v>0.324988499779466</v>
      </c>
      <c r="D32" s="61">
        <v>22.16</v>
      </c>
      <c r="E32" s="29">
        <f t="shared" si="0"/>
        <v>2.216</v>
      </c>
      <c r="F32" s="31">
        <v>2453.8</v>
      </c>
      <c r="G32" s="31">
        <v>791.1</v>
      </c>
      <c r="H32" s="29">
        <f t="shared" si="1"/>
        <v>32.23979134403782</v>
      </c>
      <c r="I32" s="31"/>
      <c r="J32" s="29">
        <f t="shared" si="2"/>
        <v>14.548642303266163</v>
      </c>
      <c r="K32" s="29">
        <v>297.9021375153068</v>
      </c>
      <c r="L32" s="29">
        <f t="shared" si="3"/>
        <v>4334.071640088606</v>
      </c>
      <c r="M32" s="15">
        <v>4334.071640088606</v>
      </c>
      <c r="N32" s="29">
        <f t="shared" si="4"/>
        <v>0.324988499779466</v>
      </c>
    </row>
    <row r="33" spans="1:14" ht="15">
      <c r="A33" s="30" t="s">
        <v>21</v>
      </c>
      <c r="B33" s="63">
        <v>5089.335959082766</v>
      </c>
      <c r="C33" s="64">
        <v>17.42620754138525</v>
      </c>
      <c r="D33" s="61">
        <v>20.89</v>
      </c>
      <c r="E33" s="29">
        <f t="shared" si="0"/>
        <v>2.089</v>
      </c>
      <c r="F33" s="31">
        <v>2669.6</v>
      </c>
      <c r="G33" s="31">
        <v>903.5</v>
      </c>
      <c r="H33" s="29">
        <f t="shared" si="1"/>
        <v>33.84402157626611</v>
      </c>
      <c r="I33" s="31"/>
      <c r="J33" s="29">
        <f t="shared" si="2"/>
        <v>16.20106346398569</v>
      </c>
      <c r="K33" s="29">
        <v>314.13591894113335</v>
      </c>
      <c r="L33" s="29">
        <f t="shared" si="3"/>
        <v>5089.335959082766</v>
      </c>
      <c r="M33" s="15">
        <v>5089.335959082766</v>
      </c>
      <c r="N33" s="29">
        <f t="shared" si="4"/>
        <v>17.42620754138525</v>
      </c>
    </row>
    <row r="34" spans="1:14" ht="15">
      <c r="A34" s="30" t="s">
        <v>22</v>
      </c>
      <c r="B34" s="63">
        <v>6152.488256628642</v>
      </c>
      <c r="C34" s="64">
        <v>20.889803819072007</v>
      </c>
      <c r="D34" s="61">
        <v>17.48</v>
      </c>
      <c r="E34" s="29">
        <f t="shared" si="0"/>
        <v>1.748</v>
      </c>
      <c r="F34" s="31">
        <v>2738.7</v>
      </c>
      <c r="G34" s="31">
        <v>936.1</v>
      </c>
      <c r="H34" s="29">
        <f t="shared" si="1"/>
        <v>34.18045057874174</v>
      </c>
      <c r="I34" s="31"/>
      <c r="J34" s="29">
        <f t="shared" si="2"/>
        <v>19.554033511865985</v>
      </c>
      <c r="K34" s="29">
        <v>314.6403657790156</v>
      </c>
      <c r="L34" s="29">
        <f t="shared" si="3"/>
        <v>6152.488256628642</v>
      </c>
      <c r="M34" s="15">
        <v>6152.488256628642</v>
      </c>
      <c r="N34" s="29">
        <f t="shared" si="4"/>
        <v>20.889803819072007</v>
      </c>
    </row>
    <row r="35" spans="1:14" ht="15">
      <c r="A35" s="30" t="s">
        <v>23</v>
      </c>
      <c r="B35" s="63">
        <v>7710.5909705518225</v>
      </c>
      <c r="C35" s="64">
        <v>25.324757219072993</v>
      </c>
      <c r="D35" s="61">
        <v>15.69</v>
      </c>
      <c r="E35" s="29">
        <f t="shared" si="0"/>
        <v>1.569</v>
      </c>
      <c r="F35" s="31">
        <v>2950.4</v>
      </c>
      <c r="G35" s="31">
        <v>1062.3</v>
      </c>
      <c r="H35" s="29">
        <f t="shared" si="1"/>
        <v>36.005287418655094</v>
      </c>
      <c r="I35" s="31"/>
      <c r="J35" s="29">
        <f t="shared" si="2"/>
        <v>22.947920598250537</v>
      </c>
      <c r="K35" s="29">
        <v>336.0039066519887</v>
      </c>
      <c r="L35" s="29">
        <f t="shared" si="3"/>
        <v>7710.5909705518225</v>
      </c>
      <c r="M35" s="15">
        <v>7710.5909705518225</v>
      </c>
      <c r="N35" s="29">
        <f t="shared" si="4"/>
        <v>25.324757219072993</v>
      </c>
    </row>
    <row r="36" spans="1:14" ht="15">
      <c r="A36" s="30" t="s">
        <v>24</v>
      </c>
      <c r="B36" s="63">
        <v>8580.104187645287</v>
      </c>
      <c r="C36" s="64">
        <v>11.276868665635321</v>
      </c>
      <c r="D36" s="61">
        <v>12.66</v>
      </c>
      <c r="E36" s="29">
        <f t="shared" si="0"/>
        <v>1.266</v>
      </c>
      <c r="F36" s="31">
        <v>2968.3</v>
      </c>
      <c r="G36" s="31">
        <v>990.1</v>
      </c>
      <c r="H36" s="29">
        <f t="shared" si="1"/>
        <v>33.35579287807836</v>
      </c>
      <c r="I36" s="31"/>
      <c r="J36" s="29">
        <f t="shared" si="2"/>
        <v>26.34738773939839</v>
      </c>
      <c r="K36" s="29">
        <v>325.65293654577704</v>
      </c>
      <c r="L36" s="29">
        <f t="shared" si="3"/>
        <v>8580.104187645287</v>
      </c>
      <c r="M36" s="15">
        <v>8580.104187645287</v>
      </c>
      <c r="N36" s="29">
        <f t="shared" si="4"/>
        <v>11.276868665635321</v>
      </c>
    </row>
    <row r="37" spans="1:14" ht="15">
      <c r="A37" s="30" t="s">
        <v>25</v>
      </c>
      <c r="B37" s="63">
        <v>9940.803930623642</v>
      </c>
      <c r="C37" s="64">
        <v>15.858778788929644</v>
      </c>
      <c r="D37" s="61">
        <v>12.06</v>
      </c>
      <c r="E37" s="29">
        <f t="shared" si="0"/>
        <v>1.206</v>
      </c>
      <c r="F37" s="31">
        <v>3166</v>
      </c>
      <c r="G37" s="31">
        <v>1098.1</v>
      </c>
      <c r="H37" s="29">
        <f t="shared" si="1"/>
        <v>34.68414403032217</v>
      </c>
      <c r="I37" s="31"/>
      <c r="J37" s="29">
        <f t="shared" si="2"/>
        <v>28.759655083185883</v>
      </c>
      <c r="K37" s="29">
        <v>345.6510136116152</v>
      </c>
      <c r="L37" s="29">
        <f t="shared" si="3"/>
        <v>9940.803930623642</v>
      </c>
      <c r="M37" s="15">
        <v>9940.803930623642</v>
      </c>
      <c r="N37" s="29">
        <f t="shared" si="4"/>
        <v>15.858778788929644</v>
      </c>
    </row>
    <row r="38" spans="1:14" ht="15">
      <c r="A38" s="32" t="s">
        <v>130</v>
      </c>
      <c r="B38" s="65">
        <v>12128.5</v>
      </c>
      <c r="C38" s="66">
        <v>22.007234874001895</v>
      </c>
      <c r="D38" s="62">
        <v>12</v>
      </c>
      <c r="E38" s="33">
        <f t="shared" si="0"/>
        <v>1.2</v>
      </c>
      <c r="F38" s="34">
        <v>3605.6</v>
      </c>
      <c r="G38" s="34">
        <v>1377.9</v>
      </c>
      <c r="H38" s="34">
        <f t="shared" si="1"/>
        <v>38.21555358331485</v>
      </c>
      <c r="I38" s="34">
        <v>38.2</v>
      </c>
      <c r="J38" s="33">
        <f aca="true" t="shared" si="5" ref="J38:J66">+I38/E38</f>
        <v>31.833333333333336</v>
      </c>
      <c r="K38" s="43">
        <v>381</v>
      </c>
      <c r="L38" s="33">
        <f t="shared" si="3"/>
        <v>12128.5</v>
      </c>
      <c r="M38" s="15">
        <v>12128.5</v>
      </c>
      <c r="N38" s="29">
        <f t="shared" si="4"/>
        <v>22.007234874001895</v>
      </c>
    </row>
    <row r="39" spans="1:14" ht="15">
      <c r="A39" s="30" t="s">
        <v>26</v>
      </c>
      <c r="B39" s="63">
        <v>12569.422997416019</v>
      </c>
      <c r="C39" s="64">
        <v>3.6354289270397735</v>
      </c>
      <c r="D39" s="61">
        <v>11.61</v>
      </c>
      <c r="E39" s="29">
        <f t="shared" si="0"/>
        <v>1.161</v>
      </c>
      <c r="F39" s="31">
        <v>4074</v>
      </c>
      <c r="G39" s="31">
        <v>1474.2</v>
      </c>
      <c r="H39" s="29">
        <f t="shared" si="1"/>
        <v>36.18556701030928</v>
      </c>
      <c r="I39" s="31">
        <v>36.1</v>
      </c>
      <c r="J39" s="29">
        <f t="shared" si="5"/>
        <v>31.093884582256674</v>
      </c>
      <c r="K39" s="29">
        <v>404.241</v>
      </c>
      <c r="L39" s="29">
        <f t="shared" si="3"/>
        <v>12569.422997416019</v>
      </c>
      <c r="M39" s="15">
        <v>12569.422997416019</v>
      </c>
      <c r="N39" s="29">
        <f t="shared" si="4"/>
        <v>3.6354289270397735</v>
      </c>
    </row>
    <row r="40" spans="1:14" ht="15">
      <c r="A40" s="30" t="s">
        <v>27</v>
      </c>
      <c r="B40" s="63">
        <v>12621.914044650379</v>
      </c>
      <c r="C40" s="64">
        <v>0.4176090441474591</v>
      </c>
      <c r="D40" s="61">
        <v>11.87</v>
      </c>
      <c r="E40" s="29">
        <f t="shared" si="0"/>
        <v>1.1869999999999998</v>
      </c>
      <c r="F40" s="31">
        <v>4551.3</v>
      </c>
      <c r="G40" s="31">
        <v>1590</v>
      </c>
      <c r="H40" s="29">
        <f t="shared" si="1"/>
        <v>34.9350734954848</v>
      </c>
      <c r="I40" s="31">
        <v>34.8</v>
      </c>
      <c r="J40" s="29">
        <f t="shared" si="5"/>
        <v>29.317607413647853</v>
      </c>
      <c r="K40" s="29">
        <v>430.5233325</v>
      </c>
      <c r="L40" s="29">
        <f t="shared" si="3"/>
        <v>12621.914044650379</v>
      </c>
      <c r="M40" s="15">
        <v>12621.914044650379</v>
      </c>
      <c r="N40" s="29">
        <f t="shared" si="4"/>
        <v>0.4176090441474591</v>
      </c>
    </row>
    <row r="41" spans="1:14" ht="15">
      <c r="A41" s="30" t="s">
        <v>28</v>
      </c>
      <c r="B41" s="63">
        <v>9995.501369548969</v>
      </c>
      <c r="C41" s="64">
        <v>-20.808354943714562</v>
      </c>
      <c r="D41" s="61">
        <v>14.55</v>
      </c>
      <c r="E41" s="29">
        <f t="shared" si="0"/>
        <v>1.455</v>
      </c>
      <c r="F41" s="31">
        <v>4901.4</v>
      </c>
      <c r="G41" s="31">
        <v>1581</v>
      </c>
      <c r="H41" s="29">
        <f t="shared" si="1"/>
        <v>32.25609009670706</v>
      </c>
      <c r="I41" s="31">
        <v>32.5</v>
      </c>
      <c r="J41" s="29">
        <f t="shared" si="5"/>
        <v>22.33676975945017</v>
      </c>
      <c r="K41" s="29">
        <v>447.4909074675</v>
      </c>
      <c r="L41" s="29">
        <f t="shared" si="3"/>
        <v>9995.501369548969</v>
      </c>
      <c r="M41" s="15">
        <v>9995.501369548969</v>
      </c>
      <c r="N41" s="29">
        <f t="shared" si="4"/>
        <v>-20.808354943714562</v>
      </c>
    </row>
    <row r="42" spans="1:14" ht="15">
      <c r="A42" s="30" t="s">
        <v>29</v>
      </c>
      <c r="B42" s="63">
        <v>9782.363122180639</v>
      </c>
      <c r="C42" s="64">
        <v>-2.1323417354295984</v>
      </c>
      <c r="D42" s="61">
        <v>15.68</v>
      </c>
      <c r="E42" s="29">
        <f t="shared" si="0"/>
        <v>1.568</v>
      </c>
      <c r="F42" s="31">
        <v>5489.2</v>
      </c>
      <c r="G42" s="31">
        <v>1760.2</v>
      </c>
      <c r="H42" s="29">
        <f t="shared" si="1"/>
        <v>32.06660351235153</v>
      </c>
      <c r="I42" s="31">
        <v>31.9</v>
      </c>
      <c r="J42" s="29">
        <f t="shared" si="5"/>
        <v>20.34438775510204</v>
      </c>
      <c r="K42" s="29">
        <v>480.83841302756247</v>
      </c>
      <c r="L42" s="29">
        <f t="shared" si="3"/>
        <v>9782.363122180639</v>
      </c>
      <c r="M42" s="15">
        <v>9782.363122180639</v>
      </c>
      <c r="N42" s="29">
        <f t="shared" si="4"/>
        <v>-2.1323417354295984</v>
      </c>
    </row>
    <row r="43" spans="1:14" ht="15">
      <c r="A43" s="30" t="s">
        <v>30</v>
      </c>
      <c r="B43" s="63">
        <v>12969.121541010776</v>
      </c>
      <c r="C43" s="64">
        <v>32.57657049761775</v>
      </c>
      <c r="D43" s="61">
        <v>13.29</v>
      </c>
      <c r="E43" s="29">
        <f t="shared" si="0"/>
        <v>1.329</v>
      </c>
      <c r="F43" s="31">
        <v>6076.3</v>
      </c>
      <c r="G43" s="31">
        <v>2005</v>
      </c>
      <c r="H43" s="29">
        <f t="shared" si="1"/>
        <v>32.997054128334675</v>
      </c>
      <c r="I43" s="31">
        <v>32.8</v>
      </c>
      <c r="J43" s="29">
        <f t="shared" si="5"/>
        <v>24.680210684725356</v>
      </c>
      <c r="K43" s="29">
        <v>525.4866624391257</v>
      </c>
      <c r="L43" s="29">
        <f t="shared" si="3"/>
        <v>12969.121541010776</v>
      </c>
      <c r="M43" s="15">
        <v>12969.121541010776</v>
      </c>
      <c r="N43" s="29">
        <f t="shared" si="4"/>
        <v>32.57657049761775</v>
      </c>
    </row>
    <row r="44" spans="1:14" ht="15">
      <c r="A44" s="30" t="s">
        <v>31</v>
      </c>
      <c r="B44" s="63">
        <v>15622.523491062984</v>
      </c>
      <c r="C44" s="64">
        <v>20.459380704095164</v>
      </c>
      <c r="D44" s="61">
        <v>13.08</v>
      </c>
      <c r="E44" s="29">
        <f t="shared" si="0"/>
        <v>1.308</v>
      </c>
      <c r="F44" s="31">
        <v>7164.4</v>
      </c>
      <c r="G44" s="31">
        <v>2468.6</v>
      </c>
      <c r="H44" s="29">
        <f t="shared" si="1"/>
        <v>34.45647925855619</v>
      </c>
      <c r="I44" s="31">
        <v>34.2</v>
      </c>
      <c r="J44" s="29">
        <f t="shared" si="5"/>
        <v>26.14678899082569</v>
      </c>
      <c r="K44" s="29">
        <v>597.493003693286</v>
      </c>
      <c r="L44" s="29">
        <f t="shared" si="3"/>
        <v>15622.523491062984</v>
      </c>
      <c r="M44" s="15">
        <v>15622.523491062984</v>
      </c>
      <c r="N44" s="29">
        <f t="shared" si="4"/>
        <v>20.459380704095164</v>
      </c>
    </row>
    <row r="45" spans="1:14" ht="15">
      <c r="A45" s="30" t="s">
        <v>32</v>
      </c>
      <c r="B45" s="63">
        <v>17865.650949901254</v>
      </c>
      <c r="C45" s="64">
        <v>14.35829147654329</v>
      </c>
      <c r="D45" s="61">
        <v>14.26</v>
      </c>
      <c r="E45" s="29">
        <f t="shared" si="0"/>
        <v>1.426</v>
      </c>
      <c r="F45" s="31">
        <v>8792.1</v>
      </c>
      <c r="G45" s="31">
        <v>3386</v>
      </c>
      <c r="H45" s="29">
        <f t="shared" si="1"/>
        <v>38.51184586162578</v>
      </c>
      <c r="I45" s="31">
        <v>38.1</v>
      </c>
      <c r="J45" s="29">
        <f t="shared" si="5"/>
        <v>26.71809256661992</v>
      </c>
      <c r="K45" s="29">
        <v>668.672395132787</v>
      </c>
      <c r="L45" s="29">
        <f t="shared" si="3"/>
        <v>17865.650949901254</v>
      </c>
      <c r="M45" s="15">
        <v>17865.650949901254</v>
      </c>
      <c r="N45" s="29">
        <f t="shared" si="4"/>
        <v>14.35829147654329</v>
      </c>
    </row>
    <row r="46" spans="1:14" ht="15">
      <c r="A46" s="30" t="s">
        <v>33</v>
      </c>
      <c r="B46" s="63">
        <v>17267.31039456521</v>
      </c>
      <c r="C46" s="64">
        <v>-3.3491114150495016</v>
      </c>
      <c r="D46" s="61">
        <v>15.57</v>
      </c>
      <c r="E46" s="29">
        <f t="shared" si="0"/>
        <v>1.557</v>
      </c>
      <c r="F46" s="31">
        <v>10132.8</v>
      </c>
      <c r="G46" s="31">
        <v>3846</v>
      </c>
      <c r="H46" s="29">
        <f t="shared" si="1"/>
        <v>37.95594504973946</v>
      </c>
      <c r="I46" s="31">
        <v>37.5</v>
      </c>
      <c r="J46" s="29">
        <f t="shared" si="5"/>
        <v>24.084778420038536</v>
      </c>
      <c r="K46" s="29">
        <v>716.9387275823476</v>
      </c>
      <c r="L46" s="29">
        <f t="shared" si="3"/>
        <v>17267.31039456521</v>
      </c>
      <c r="M46" s="15">
        <v>17267.31039456521</v>
      </c>
      <c r="N46" s="29">
        <f t="shared" si="4"/>
        <v>-3.3491114150495016</v>
      </c>
    </row>
    <row r="47" spans="1:14" ht="15">
      <c r="A47" s="30" t="s">
        <v>34</v>
      </c>
      <c r="B47" s="63">
        <v>17201.865523985947</v>
      </c>
      <c r="C47" s="64">
        <v>-0.3790102169001503</v>
      </c>
      <c r="D47" s="61">
        <v>16.61</v>
      </c>
      <c r="E47" s="29">
        <f t="shared" si="0"/>
        <v>1.661</v>
      </c>
      <c r="F47" s="31">
        <v>11784.7</v>
      </c>
      <c r="G47" s="31">
        <v>4322</v>
      </c>
      <c r="H47" s="29">
        <f t="shared" si="1"/>
        <v>36.67467139596256</v>
      </c>
      <c r="I47" s="31">
        <v>36.3</v>
      </c>
      <c r="J47" s="29">
        <f t="shared" si="5"/>
        <v>21.854304635761586</v>
      </c>
      <c r="K47" s="29">
        <v>787.1156648854177</v>
      </c>
      <c r="L47" s="29">
        <f t="shared" si="3"/>
        <v>17201.865523985947</v>
      </c>
      <c r="M47" s="15">
        <v>17201.865523985947</v>
      </c>
      <c r="N47" s="29">
        <f t="shared" si="4"/>
        <v>-0.3790102169001503</v>
      </c>
    </row>
    <row r="48" spans="1:14" ht="15">
      <c r="A48" s="30" t="s">
        <v>35</v>
      </c>
      <c r="B48" s="63">
        <v>20276.62846016065</v>
      </c>
      <c r="C48" s="64">
        <v>17.8745900082018</v>
      </c>
      <c r="D48" s="61">
        <v>15.73</v>
      </c>
      <c r="E48" s="29">
        <f t="shared" si="0"/>
        <v>1.573</v>
      </c>
      <c r="F48" s="31">
        <v>14704</v>
      </c>
      <c r="G48" s="31">
        <v>5495</v>
      </c>
      <c r="H48" s="29">
        <f t="shared" si="1"/>
        <v>37.370783460282915</v>
      </c>
      <c r="I48" s="31">
        <v>37</v>
      </c>
      <c r="J48" s="29">
        <f t="shared" si="5"/>
        <v>23.521932612841706</v>
      </c>
      <c r="K48" s="29">
        <v>862.0307180495324</v>
      </c>
      <c r="L48" s="29">
        <f t="shared" si="3"/>
        <v>20276.62846016065</v>
      </c>
      <c r="M48" s="15">
        <v>20276.62846016065</v>
      </c>
      <c r="N48" s="29">
        <f t="shared" si="4"/>
        <v>17.8745900082018</v>
      </c>
    </row>
    <row r="49" spans="1:14" ht="15">
      <c r="A49" s="30" t="s">
        <v>36</v>
      </c>
      <c r="B49" s="63">
        <v>21499.383853143754</v>
      </c>
      <c r="C49" s="64">
        <v>6.030368388835275</v>
      </c>
      <c r="D49" s="61">
        <v>15.04</v>
      </c>
      <c r="E49" s="29">
        <f t="shared" si="0"/>
        <v>1.504</v>
      </c>
      <c r="F49" s="31">
        <v>16466</v>
      </c>
      <c r="G49" s="31">
        <v>6095</v>
      </c>
      <c r="H49" s="29">
        <f t="shared" si="1"/>
        <v>37.015668650552655</v>
      </c>
      <c r="I49" s="31">
        <v>36.6</v>
      </c>
      <c r="J49" s="29">
        <f t="shared" si="5"/>
        <v>24.335106382978726</v>
      </c>
      <c r="K49" s="29">
        <v>883.4719485007706</v>
      </c>
      <c r="L49" s="29">
        <f t="shared" si="3"/>
        <v>21499.383853143754</v>
      </c>
      <c r="M49" s="15">
        <v>21499.383853143754</v>
      </c>
      <c r="N49" s="29">
        <f t="shared" si="4"/>
        <v>6.030368388835275</v>
      </c>
    </row>
    <row r="50" spans="1:14" ht="15">
      <c r="A50" s="30" t="s">
        <v>37</v>
      </c>
      <c r="B50" s="63">
        <v>21922.683709581976</v>
      </c>
      <c r="C50" s="64">
        <v>1.9688929660945809</v>
      </c>
      <c r="D50" s="61">
        <v>14.39</v>
      </c>
      <c r="E50" s="29">
        <f t="shared" si="0"/>
        <v>1.439</v>
      </c>
      <c r="F50" s="31">
        <v>18319.5</v>
      </c>
      <c r="G50" s="31">
        <v>6444</v>
      </c>
      <c r="H50" s="29">
        <f t="shared" si="1"/>
        <v>35.17563252272169</v>
      </c>
      <c r="I50" s="31">
        <v>34.9</v>
      </c>
      <c r="J50" s="29">
        <f t="shared" si="5"/>
        <v>24.25295343988881</v>
      </c>
      <c r="K50" s="29">
        <v>903.9181048162884</v>
      </c>
      <c r="L50" s="29">
        <f t="shared" si="3"/>
        <v>21922.683709581976</v>
      </c>
      <c r="M50" s="15">
        <v>21922.683709581976</v>
      </c>
      <c r="N50" s="29">
        <f t="shared" si="4"/>
        <v>1.9688929660945809</v>
      </c>
    </row>
    <row r="51" spans="1:14" ht="15">
      <c r="A51" s="30" t="s">
        <v>38</v>
      </c>
      <c r="B51" s="63">
        <v>26101.95578110367</v>
      </c>
      <c r="C51" s="64">
        <v>19.063688218495873</v>
      </c>
      <c r="D51" s="61">
        <v>12.98</v>
      </c>
      <c r="E51" s="29">
        <f t="shared" si="0"/>
        <v>1.298</v>
      </c>
      <c r="F51" s="31">
        <v>21280.4</v>
      </c>
      <c r="G51" s="31">
        <v>7517</v>
      </c>
      <c r="H51" s="29">
        <f t="shared" si="1"/>
        <v>35.3235841431552</v>
      </c>
      <c r="I51" s="31">
        <v>34.8</v>
      </c>
      <c r="J51" s="29">
        <f t="shared" si="5"/>
        <v>26.810477657935284</v>
      </c>
      <c r="K51" s="29">
        <v>973.5729483871426</v>
      </c>
      <c r="L51" s="29">
        <f t="shared" si="3"/>
        <v>26101.95578110367</v>
      </c>
      <c r="M51" s="15">
        <v>26101.95578110367</v>
      </c>
      <c r="N51" s="29">
        <f t="shared" si="4"/>
        <v>19.063688218495873</v>
      </c>
    </row>
    <row r="52" spans="1:14" ht="15">
      <c r="A52" s="30" t="s">
        <v>39</v>
      </c>
      <c r="B52" s="63">
        <v>34654.79776997716</v>
      </c>
      <c r="C52" s="64">
        <v>32.76705416482722</v>
      </c>
      <c r="D52" s="61">
        <v>11.6</v>
      </c>
      <c r="E52" s="29">
        <f t="shared" si="0"/>
        <v>1.16</v>
      </c>
      <c r="F52" s="31">
        <v>25863.7</v>
      </c>
      <c r="G52" s="31">
        <v>9636</v>
      </c>
      <c r="H52" s="29">
        <f t="shared" si="1"/>
        <v>37.2568503346389</v>
      </c>
      <c r="I52" s="31">
        <v>36.6</v>
      </c>
      <c r="J52" s="29">
        <f t="shared" si="5"/>
        <v>31.55172413793104</v>
      </c>
      <c r="K52" s="29">
        <v>1098.3487817806968</v>
      </c>
      <c r="L52" s="29">
        <f t="shared" si="3"/>
        <v>34654.79776997716</v>
      </c>
      <c r="M52" s="15">
        <v>34654.79776997716</v>
      </c>
      <c r="N52" s="29">
        <f t="shared" si="4"/>
        <v>32.76705416482722</v>
      </c>
    </row>
    <row r="53" spans="1:14" ht="15">
      <c r="A53" s="30" t="s">
        <v>40</v>
      </c>
      <c r="B53" s="63">
        <v>46045.11308528175</v>
      </c>
      <c r="C53" s="64">
        <v>32.86793185436644</v>
      </c>
      <c r="D53" s="61">
        <v>11.45</v>
      </c>
      <c r="E53" s="29">
        <f t="shared" si="0"/>
        <v>1.145</v>
      </c>
      <c r="F53" s="31">
        <v>34500.7</v>
      </c>
      <c r="G53" s="31">
        <v>14998</v>
      </c>
      <c r="H53" s="29">
        <f t="shared" si="1"/>
        <v>43.47158173602275</v>
      </c>
      <c r="I53" s="31">
        <v>42.6</v>
      </c>
      <c r="J53" s="29">
        <f t="shared" si="5"/>
        <v>37.20524017467249</v>
      </c>
      <c r="K53" s="29">
        <v>1237.5975230668453</v>
      </c>
      <c r="L53" s="29">
        <f t="shared" si="3"/>
        <v>46045.11308528175</v>
      </c>
      <c r="M53" s="15">
        <v>46045.11308528175</v>
      </c>
      <c r="N53" s="29">
        <f t="shared" si="4"/>
        <v>32.86793185436644</v>
      </c>
    </row>
    <row r="54" spans="1:14" ht="15">
      <c r="A54" s="30" t="s">
        <v>41</v>
      </c>
      <c r="B54" s="63">
        <v>49992.81558558758</v>
      </c>
      <c r="C54" s="64">
        <v>8.573553708064855</v>
      </c>
      <c r="D54" s="61">
        <v>11.21</v>
      </c>
      <c r="E54" s="29">
        <f t="shared" si="0"/>
        <v>1.121</v>
      </c>
      <c r="F54" s="31">
        <v>46690.7</v>
      </c>
      <c r="G54" s="31">
        <v>19260.6</v>
      </c>
      <c r="H54" s="29">
        <f t="shared" si="1"/>
        <v>41.251469778778215</v>
      </c>
      <c r="I54" s="31">
        <v>40.5</v>
      </c>
      <c r="J54" s="29">
        <f t="shared" si="5"/>
        <v>36.12845673505798</v>
      </c>
      <c r="K54" s="29">
        <v>1383.751759788733</v>
      </c>
      <c r="L54" s="29">
        <f t="shared" si="3"/>
        <v>49992.81558558758</v>
      </c>
      <c r="M54" s="15">
        <v>49992.81558558758</v>
      </c>
      <c r="N54" s="29">
        <f t="shared" si="4"/>
        <v>8.573553708064855</v>
      </c>
    </row>
    <row r="55" spans="1:14" ht="15">
      <c r="A55" s="30" t="s">
        <v>42</v>
      </c>
      <c r="B55" s="63">
        <v>57989.591029882526</v>
      </c>
      <c r="C55" s="64">
        <v>15.995849304795573</v>
      </c>
      <c r="D55" s="61">
        <v>10.55</v>
      </c>
      <c r="E55" s="29">
        <f t="shared" si="0"/>
        <v>1.0550000000000002</v>
      </c>
      <c r="F55" s="31">
        <v>58510.5</v>
      </c>
      <c r="G55" s="31">
        <v>23877</v>
      </c>
      <c r="H55" s="29">
        <f t="shared" si="1"/>
        <v>40.8080600917784</v>
      </c>
      <c r="I55" s="31">
        <v>40.3</v>
      </c>
      <c r="J55" s="29">
        <f t="shared" si="5"/>
        <v>38.19905213270141</v>
      </c>
      <c r="K55" s="29">
        <v>1518.0897899882402</v>
      </c>
      <c r="L55" s="29">
        <f t="shared" si="3"/>
        <v>57989.591029882526</v>
      </c>
      <c r="M55" s="15">
        <v>57989.591029882526</v>
      </c>
      <c r="N55" s="29">
        <f t="shared" si="4"/>
        <v>15.995849304795573</v>
      </c>
    </row>
    <row r="56" spans="1:14" ht="15">
      <c r="A56" s="30" t="s">
        <v>43</v>
      </c>
      <c r="B56" s="63">
        <v>61546.244720471295</v>
      </c>
      <c r="C56" s="64">
        <v>6.133262241418457</v>
      </c>
      <c r="D56" s="61">
        <v>10.42</v>
      </c>
      <c r="E56" s="29">
        <f t="shared" si="0"/>
        <v>1.042</v>
      </c>
      <c r="F56" s="31">
        <v>68330.4</v>
      </c>
      <c r="G56" s="31">
        <v>26867.2</v>
      </c>
      <c r="H56" s="29">
        <f t="shared" si="1"/>
        <v>39.319541521782405</v>
      </c>
      <c r="I56" s="31">
        <v>38.8</v>
      </c>
      <c r="J56" s="29">
        <f t="shared" si="5"/>
        <v>37.23608445297504</v>
      </c>
      <c r="K56" s="29">
        <v>1652.8656442971933</v>
      </c>
      <c r="L56" s="29">
        <f t="shared" si="3"/>
        <v>61546.244720471295</v>
      </c>
      <c r="M56" s="15">
        <v>61546.244720471295</v>
      </c>
      <c r="N56" s="29">
        <f t="shared" si="4"/>
        <v>6.133262241418457</v>
      </c>
    </row>
    <row r="57" spans="1:14" ht="15">
      <c r="A57" s="30" t="s">
        <v>44</v>
      </c>
      <c r="B57" s="63">
        <v>65237.30011764908</v>
      </c>
      <c r="C57" s="64">
        <v>5.997206513478927</v>
      </c>
      <c r="D57" s="61">
        <v>10.06</v>
      </c>
      <c r="E57" s="29">
        <f t="shared" si="0"/>
        <v>1.006</v>
      </c>
      <c r="F57" s="31">
        <v>74894.2</v>
      </c>
      <c r="G57" s="31">
        <v>28457.6</v>
      </c>
      <c r="H57" s="29">
        <f t="shared" si="1"/>
        <v>37.99706786373311</v>
      </c>
      <c r="I57" s="31">
        <v>36.7</v>
      </c>
      <c r="J57" s="29">
        <f t="shared" si="5"/>
        <v>36.48111332007952</v>
      </c>
      <c r="K57" s="29">
        <v>1788.2486081295633</v>
      </c>
      <c r="L57" s="29">
        <f t="shared" si="3"/>
        <v>65237.30011764908</v>
      </c>
      <c r="M57" s="15">
        <v>65237.30011764908</v>
      </c>
      <c r="N57" s="29">
        <f t="shared" si="4"/>
        <v>5.997206513478927</v>
      </c>
    </row>
    <row r="58" spans="1:14" ht="15">
      <c r="A58" s="30" t="s">
        <v>45</v>
      </c>
      <c r="B58" s="63">
        <v>75647.83855236534</v>
      </c>
      <c r="C58" s="64">
        <v>15.95795413964385</v>
      </c>
      <c r="D58" s="61">
        <v>9.14</v>
      </c>
      <c r="E58" s="29">
        <f t="shared" si="0"/>
        <v>0.914</v>
      </c>
      <c r="F58" s="31">
        <v>79003.3</v>
      </c>
      <c r="G58" s="31">
        <v>29545.9</v>
      </c>
      <c r="H58" s="29">
        <f t="shared" si="1"/>
        <v>37.39831120978491</v>
      </c>
      <c r="I58" s="31">
        <v>36.2</v>
      </c>
      <c r="J58" s="29">
        <f t="shared" si="5"/>
        <v>39.606126914660834</v>
      </c>
      <c r="K58" s="29">
        <v>1910.0034374823736</v>
      </c>
      <c r="L58" s="29">
        <f t="shared" si="3"/>
        <v>75647.83855236534</v>
      </c>
      <c r="M58" s="15">
        <v>75647.83855236534</v>
      </c>
      <c r="N58" s="29">
        <f t="shared" si="4"/>
        <v>15.95795413964385</v>
      </c>
    </row>
    <row r="59" spans="1:14" ht="15">
      <c r="A59" s="30" t="s">
        <v>46</v>
      </c>
      <c r="B59" s="63">
        <v>90181.14698329057</v>
      </c>
      <c r="C59" s="64">
        <v>19.21179601300162</v>
      </c>
      <c r="D59" s="61">
        <v>8.18</v>
      </c>
      <c r="E59" s="29">
        <f t="shared" si="0"/>
        <v>0.818</v>
      </c>
      <c r="F59" s="31">
        <v>82673.1</v>
      </c>
      <c r="G59" s="31">
        <v>30701.6</v>
      </c>
      <c r="H59" s="29">
        <f t="shared" si="1"/>
        <v>37.13614222764115</v>
      </c>
      <c r="I59" s="31">
        <v>36.2</v>
      </c>
      <c r="J59" s="29">
        <f t="shared" si="5"/>
        <v>44.254278728606366</v>
      </c>
      <c r="K59" s="29">
        <v>2037.7949787936925</v>
      </c>
      <c r="L59" s="29">
        <f t="shared" si="3"/>
        <v>90181.14698329057</v>
      </c>
      <c r="M59" s="15">
        <v>90181.14698329057</v>
      </c>
      <c r="N59" s="29">
        <f t="shared" si="4"/>
        <v>19.21179601300162</v>
      </c>
    </row>
    <row r="60" spans="1:14" ht="15">
      <c r="A60" s="30" t="s">
        <v>47</v>
      </c>
      <c r="B60" s="63">
        <v>102107.6984220647</v>
      </c>
      <c r="C60" s="64">
        <v>13.225105066565595</v>
      </c>
      <c r="D60" s="61">
        <v>7.58</v>
      </c>
      <c r="E60" s="29">
        <f t="shared" si="0"/>
        <v>0.758</v>
      </c>
      <c r="F60" s="31">
        <v>89340.9</v>
      </c>
      <c r="G60" s="31">
        <v>32499.8</v>
      </c>
      <c r="H60" s="29">
        <f t="shared" si="1"/>
        <v>36.37729192340798</v>
      </c>
      <c r="I60" s="31">
        <v>35.3</v>
      </c>
      <c r="J60" s="29">
        <f t="shared" si="5"/>
        <v>46.56992084432717</v>
      </c>
      <c r="K60" s="29">
        <v>2192.5675751820127</v>
      </c>
      <c r="L60" s="29">
        <f t="shared" si="3"/>
        <v>102107.6984220647</v>
      </c>
      <c r="M60" s="15">
        <v>102107.6984220647</v>
      </c>
      <c r="N60" s="29">
        <f t="shared" si="4"/>
        <v>13.225105066565595</v>
      </c>
    </row>
    <row r="61" spans="1:14" ht="15">
      <c r="A61" s="30" t="s">
        <v>48</v>
      </c>
      <c r="B61" s="63">
        <v>123789.17654669675</v>
      </c>
      <c r="C61" s="64">
        <v>21.233930898149445</v>
      </c>
      <c r="D61" s="61">
        <v>6.95</v>
      </c>
      <c r="E61" s="29">
        <f t="shared" si="0"/>
        <v>0.6950000000000001</v>
      </c>
      <c r="F61" s="31">
        <v>98592.9</v>
      </c>
      <c r="G61" s="31">
        <v>37460.8</v>
      </c>
      <c r="H61" s="29">
        <f t="shared" si="1"/>
        <v>37.99543374827194</v>
      </c>
      <c r="I61" s="31">
        <v>36.5</v>
      </c>
      <c r="J61" s="29">
        <f t="shared" si="5"/>
        <v>52.51798561151079</v>
      </c>
      <c r="K61" s="29">
        <v>2357.0815808206644</v>
      </c>
      <c r="L61" s="29">
        <f t="shared" si="3"/>
        <v>123789.17654669675</v>
      </c>
      <c r="M61" s="15">
        <v>123789.17654669675</v>
      </c>
      <c r="N61" s="29">
        <f t="shared" si="4"/>
        <v>21.233930898149445</v>
      </c>
    </row>
    <row r="62" spans="1:14" ht="15">
      <c r="A62" s="30" t="s">
        <v>49</v>
      </c>
      <c r="B62" s="63">
        <v>150105.18637085866</v>
      </c>
      <c r="C62" s="64">
        <v>21.258732433877025</v>
      </c>
      <c r="D62" s="61">
        <v>6.45</v>
      </c>
      <c r="E62" s="29">
        <f t="shared" si="0"/>
        <v>0.645</v>
      </c>
      <c r="F62" s="31">
        <v>107897.6</v>
      </c>
      <c r="G62" s="31">
        <v>42304.9</v>
      </c>
      <c r="H62" s="29">
        <f t="shared" si="1"/>
        <v>39.20837905569725</v>
      </c>
      <c r="I62" s="31">
        <v>37.9</v>
      </c>
      <c r="J62" s="29">
        <f t="shared" si="5"/>
        <v>58.75968992248062</v>
      </c>
      <c r="K62" s="29">
        <v>2554.5605596095997</v>
      </c>
      <c r="L62" s="29">
        <f t="shared" si="3"/>
        <v>150105.18637085866</v>
      </c>
      <c r="M62" s="15">
        <v>150105.18637085866</v>
      </c>
      <c r="N62" s="29">
        <f t="shared" si="4"/>
        <v>21.258732433877025</v>
      </c>
    </row>
    <row r="63" spans="1:14" ht="15">
      <c r="A63" s="30" t="s">
        <v>50</v>
      </c>
      <c r="B63" s="63">
        <v>190524.25590979203</v>
      </c>
      <c r="C63" s="64">
        <v>26.927163888309398</v>
      </c>
      <c r="D63" s="61">
        <v>6.01</v>
      </c>
      <c r="E63" s="29">
        <f t="shared" si="0"/>
        <v>0.601</v>
      </c>
      <c r="F63" s="31">
        <v>121730.3</v>
      </c>
      <c r="G63" s="31">
        <v>51554.7</v>
      </c>
      <c r="H63" s="29">
        <f t="shared" si="1"/>
        <v>42.35157557321389</v>
      </c>
      <c r="I63" s="31">
        <v>41</v>
      </c>
      <c r="J63" s="29">
        <f t="shared" si="5"/>
        <v>68.21963394342762</v>
      </c>
      <c r="K63" s="29">
        <v>2792.806775653293</v>
      </c>
      <c r="L63" s="29">
        <f t="shared" si="3"/>
        <v>190524.25590979203</v>
      </c>
      <c r="M63" s="15">
        <v>190524.25590979203</v>
      </c>
      <c r="N63" s="29">
        <f t="shared" si="4"/>
        <v>26.927163888309398</v>
      </c>
    </row>
    <row r="64" spans="1:14" ht="15">
      <c r="A64" s="30" t="s">
        <v>51</v>
      </c>
      <c r="B64" s="63">
        <v>224882.11837886737</v>
      </c>
      <c r="C64" s="64">
        <v>18.033327202885303</v>
      </c>
      <c r="D64" s="61">
        <v>5.87</v>
      </c>
      <c r="E64" s="29">
        <f t="shared" si="0"/>
        <v>0.587</v>
      </c>
      <c r="F64" s="31">
        <v>142394.2</v>
      </c>
      <c r="G64" s="31">
        <v>62875.3</v>
      </c>
      <c r="H64" s="29">
        <f t="shared" si="1"/>
        <v>44.155801289659266</v>
      </c>
      <c r="I64" s="31">
        <v>43.2</v>
      </c>
      <c r="J64" s="29">
        <f t="shared" si="5"/>
        <v>73.59454855195912</v>
      </c>
      <c r="K64" s="29">
        <v>3055.689895564702</v>
      </c>
      <c r="L64" s="29">
        <f t="shared" si="3"/>
        <v>224882.11837886737</v>
      </c>
      <c r="M64" s="15">
        <v>224882.11837886737</v>
      </c>
      <c r="N64" s="29">
        <f t="shared" si="4"/>
        <v>18.033327202885303</v>
      </c>
    </row>
    <row r="65" spans="1:14" ht="15">
      <c r="A65" s="30" t="s">
        <v>52</v>
      </c>
      <c r="B65" s="63">
        <f>M65</f>
        <v>242980</v>
      </c>
      <c r="C65" s="64">
        <f>N65</f>
        <v>8.043061124431757</v>
      </c>
      <c r="D65" s="61">
        <v>5.89</v>
      </c>
      <c r="E65" s="29">
        <f t="shared" si="0"/>
        <v>0.589</v>
      </c>
      <c r="F65" s="9">
        <v>188692.1</v>
      </c>
      <c r="G65" s="9">
        <v>80646.3</v>
      </c>
      <c r="H65" s="31">
        <f t="shared" si="1"/>
        <v>42.73962714920233</v>
      </c>
      <c r="I65" s="31">
        <v>42.7</v>
      </c>
      <c r="J65" s="29">
        <f t="shared" si="5"/>
        <v>72.49575551782684</v>
      </c>
      <c r="K65" s="29">
        <v>3351.5</v>
      </c>
      <c r="L65" s="29">
        <f t="shared" si="3"/>
        <v>242969.52461799665</v>
      </c>
      <c r="M65" s="15">
        <v>242980</v>
      </c>
      <c r="N65" s="29">
        <f t="shared" si="4"/>
        <v>8.043061124431757</v>
      </c>
    </row>
    <row r="66" spans="1:14" ht="15">
      <c r="A66" s="30" t="s">
        <v>211</v>
      </c>
      <c r="B66" s="63">
        <f>M66</f>
        <v>298359</v>
      </c>
      <c r="C66" s="64">
        <f>N66</f>
        <v>22.796821797200533</v>
      </c>
      <c r="D66" s="29">
        <v>5.28</v>
      </c>
      <c r="E66" s="29">
        <f t="shared" si="0"/>
        <v>0.528</v>
      </c>
      <c r="F66" s="9">
        <v>221170.5</v>
      </c>
      <c r="G66" s="9">
        <v>94103.2</v>
      </c>
      <c r="H66" s="31">
        <f t="shared" si="1"/>
        <v>42.54780813896971</v>
      </c>
      <c r="I66" s="31">
        <v>42.5</v>
      </c>
      <c r="J66" s="29">
        <f t="shared" si="5"/>
        <v>80.49242424242424</v>
      </c>
      <c r="K66" s="29">
        <v>3706.67</v>
      </c>
      <c r="L66" s="29">
        <f t="shared" si="3"/>
        <v>298358.8541666666</v>
      </c>
      <c r="M66" s="15">
        <v>298359</v>
      </c>
      <c r="N66" s="29">
        <f t="shared" si="4"/>
        <v>22.796821797200533</v>
      </c>
    </row>
    <row r="68" spans="1:3" ht="12">
      <c r="A68" s="27" t="s">
        <v>138</v>
      </c>
      <c r="B68" s="27"/>
      <c r="C68" s="27"/>
    </row>
    <row r="69" spans="1:3" ht="12">
      <c r="A69" s="27"/>
      <c r="B69" s="27"/>
      <c r="C69" s="27"/>
    </row>
    <row r="70" spans="1:3" ht="12">
      <c r="A70" s="27" t="s">
        <v>204</v>
      </c>
      <c r="B70" s="27"/>
      <c r="C70" s="27"/>
    </row>
    <row r="71" spans="1:3" ht="12">
      <c r="A71" s="27" t="s">
        <v>205</v>
      </c>
      <c r="B71" s="27"/>
      <c r="C71" s="27"/>
    </row>
    <row r="72" spans="1:3" ht="12">
      <c r="A72" s="27" t="s">
        <v>206</v>
      </c>
      <c r="B72" s="27"/>
      <c r="C72" s="27"/>
    </row>
    <row r="73" spans="1:3" ht="12">
      <c r="A73" s="27" t="s">
        <v>203</v>
      </c>
      <c r="B73" s="27"/>
      <c r="C73" s="27"/>
    </row>
    <row r="74" spans="1:3" ht="12">
      <c r="A74" s="27" t="s">
        <v>202</v>
      </c>
      <c r="B74" s="27"/>
      <c r="C74" s="27"/>
    </row>
    <row r="75" spans="1:3" ht="12">
      <c r="A75" s="27" t="s">
        <v>207</v>
      </c>
      <c r="B75" s="27"/>
      <c r="C75" s="27"/>
    </row>
    <row r="76" spans="1:3" ht="12">
      <c r="A76" s="27"/>
      <c r="B76" s="27"/>
      <c r="C76" s="27"/>
    </row>
    <row r="77" spans="1:3" ht="9.75" customHeight="1">
      <c r="A77" s="27" t="s">
        <v>104</v>
      </c>
      <c r="B77" s="27"/>
      <c r="C77" s="27"/>
    </row>
    <row r="78" spans="1:3" ht="12.75">
      <c r="A78" s="6" t="s">
        <v>103</v>
      </c>
      <c r="B78" s="6"/>
      <c r="C78" s="6"/>
    </row>
    <row r="79" spans="1:3" ht="12.75">
      <c r="A79" s="6" t="s">
        <v>212</v>
      </c>
      <c r="B79" s="6"/>
      <c r="C79" s="6"/>
    </row>
    <row r="80" spans="1:2" ht="12.75">
      <c r="A80" s="6"/>
      <c r="B80" s="6"/>
    </row>
    <row r="81" spans="1:3" ht="12">
      <c r="A81" s="27" t="s">
        <v>135</v>
      </c>
      <c r="B81" s="27"/>
      <c r="C81" s="27"/>
    </row>
    <row r="82" spans="1:3" ht="12">
      <c r="A82" s="27" t="s">
        <v>136</v>
      </c>
      <c r="B82" s="27"/>
      <c r="C82" s="27"/>
    </row>
    <row r="83" spans="1:3" ht="12">
      <c r="A83" s="27" t="s">
        <v>225</v>
      </c>
      <c r="B83" s="27"/>
      <c r="C83" s="27"/>
    </row>
    <row r="84" spans="1:3" ht="12">
      <c r="A84" s="27" t="s">
        <v>131</v>
      </c>
      <c r="B84" s="27"/>
      <c r="C84" s="27"/>
    </row>
    <row r="85" spans="1:3" ht="12.75">
      <c r="A85" s="27" t="s">
        <v>196</v>
      </c>
      <c r="B85" s="27"/>
      <c r="C85" s="27"/>
    </row>
    <row r="86" spans="1:3" ht="12.75">
      <c r="A86" s="27" t="s">
        <v>197</v>
      </c>
      <c r="B86" s="27"/>
      <c r="C86" s="27"/>
    </row>
    <row r="87" spans="1:3" ht="12.75">
      <c r="A87" s="27" t="s">
        <v>198</v>
      </c>
      <c r="B87" s="27"/>
      <c r="C87" s="27"/>
    </row>
    <row r="88" spans="1:3" ht="12.75">
      <c r="A88" s="27" t="s">
        <v>199</v>
      </c>
      <c r="B88" s="27"/>
      <c r="C88" s="27"/>
    </row>
    <row r="89" spans="1:3" ht="12.75">
      <c r="A89" s="27" t="s">
        <v>200</v>
      </c>
      <c r="B89" s="27"/>
      <c r="C89" s="27"/>
    </row>
    <row r="90" spans="1:3" ht="12">
      <c r="A90" s="27" t="s">
        <v>201</v>
      </c>
      <c r="B90" s="27"/>
      <c r="C90" s="27"/>
    </row>
    <row r="91" spans="1:3" ht="12">
      <c r="A91" s="27" t="s">
        <v>208</v>
      </c>
      <c r="B91" s="27"/>
      <c r="C91" s="27"/>
    </row>
    <row r="92" spans="1:3" ht="12">
      <c r="A92" s="27" t="s">
        <v>133</v>
      </c>
      <c r="B92" s="27"/>
      <c r="C92" s="27"/>
    </row>
    <row r="93" spans="1:3" ht="12">
      <c r="A93" s="27" t="s">
        <v>193</v>
      </c>
      <c r="B93" s="27"/>
      <c r="C93" s="27"/>
    </row>
    <row r="94" spans="1:3" ht="14.25">
      <c r="A94" s="44" t="s">
        <v>178</v>
      </c>
      <c r="B94" s="27"/>
      <c r="C94" s="27"/>
    </row>
    <row r="96" ht="20.25" customHeight="1"/>
  </sheetData>
  <mergeCells count="2">
    <mergeCell ref="A2:K2"/>
    <mergeCell ref="A3:K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&amp;L&amp;F--&amp;A&amp;R&amp;N--&amp;P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N20" sqref="N20"/>
    </sheetView>
  </sheetViews>
  <sheetFormatPr defaultColWidth="9.00390625" defaultRowHeight="14.25"/>
  <sheetData/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&amp;L&amp;F--&amp;A&amp;R&amp;N--&amp;P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7"/>
  <sheetViews>
    <sheetView tabSelected="1" workbookViewId="0" topLeftCell="A58">
      <selection activeCell="C65" sqref="C65"/>
    </sheetView>
  </sheetViews>
  <sheetFormatPr defaultColWidth="9.00390625" defaultRowHeight="14.25"/>
  <cols>
    <col min="1" max="1" width="9.375" style="6" customWidth="1"/>
    <col min="2" max="2" width="14.75390625" style="6" customWidth="1"/>
    <col min="3" max="3" width="14.50390625" style="6" customWidth="1"/>
    <col min="4" max="4" width="13.00390625" style="6" customWidth="1"/>
    <col min="5" max="5" width="12.625" style="6" customWidth="1"/>
    <col min="6" max="7" width="11.50390625" style="6" customWidth="1"/>
    <col min="8" max="8" width="14.125" style="6" customWidth="1"/>
    <col min="9" max="9" width="14.375" style="6" customWidth="1"/>
    <col min="10" max="10" width="13.25390625" style="1" customWidth="1"/>
    <col min="11" max="11" width="16.375" style="2" customWidth="1"/>
    <col min="12" max="12" width="15.25390625" style="4" customWidth="1"/>
    <col min="13" max="13" width="14.875" style="1" customWidth="1"/>
    <col min="14" max="14" width="17.75390625" style="1" customWidth="1"/>
    <col min="15" max="15" width="14.75390625" style="1" customWidth="1"/>
    <col min="16" max="16" width="14.125" style="1" customWidth="1"/>
    <col min="17" max="17" width="18.50390625" style="1" customWidth="1"/>
    <col min="18" max="16384" width="9.00390625" style="1" customWidth="1"/>
  </cols>
  <sheetData>
    <row r="2" spans="1:9" ht="15">
      <c r="A2" s="69" t="s">
        <v>220</v>
      </c>
      <c r="B2" s="69"/>
      <c r="C2" s="69"/>
      <c r="D2" s="69"/>
      <c r="E2" s="69"/>
      <c r="F2" s="69"/>
      <c r="G2" s="69"/>
      <c r="H2" s="69"/>
      <c r="I2" s="69"/>
    </row>
    <row r="3" spans="1:9" ht="15">
      <c r="A3" s="69" t="s">
        <v>144</v>
      </c>
      <c r="B3" s="69"/>
      <c r="C3" s="69"/>
      <c r="D3" s="69"/>
      <c r="E3" s="69"/>
      <c r="F3" s="69"/>
      <c r="G3" s="69"/>
      <c r="H3" s="69"/>
      <c r="I3" s="69"/>
    </row>
    <row r="4" spans="1:3" ht="18.75">
      <c r="A4" s="45" t="s">
        <v>147</v>
      </c>
      <c r="B4" s="45"/>
      <c r="C4" s="45"/>
    </row>
    <row r="5" spans="1:3" ht="27" customHeight="1">
      <c r="A5" s="27" t="s">
        <v>145</v>
      </c>
      <c r="B5" s="27"/>
      <c r="C5" s="27"/>
    </row>
    <row r="6" spans="1:3" ht="12.75" customHeight="1">
      <c r="A6" s="27"/>
      <c r="B6" s="27"/>
      <c r="C6" s="27"/>
    </row>
    <row r="7" spans="1:17" s="5" customFormat="1" ht="58.5" customHeight="1">
      <c r="A7" s="13" t="s">
        <v>127</v>
      </c>
      <c r="B7" s="12" t="s">
        <v>150</v>
      </c>
      <c r="C7" s="54" t="s">
        <v>151</v>
      </c>
      <c r="D7" s="49" t="s">
        <v>78</v>
      </c>
      <c r="E7" s="12" t="s">
        <v>78</v>
      </c>
      <c r="F7" s="12" t="s">
        <v>79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99</v>
      </c>
      <c r="P7" s="12" t="s">
        <v>100</v>
      </c>
      <c r="Q7" s="12" t="s">
        <v>106</v>
      </c>
    </row>
    <row r="8" spans="1:17" s="5" customFormat="1" ht="41.25" customHeight="1">
      <c r="A8" s="16" t="s">
        <v>87</v>
      </c>
      <c r="B8" s="16" t="s">
        <v>143</v>
      </c>
      <c r="C8" s="55" t="s">
        <v>153</v>
      </c>
      <c r="D8" s="50" t="s">
        <v>88</v>
      </c>
      <c r="E8" s="16" t="s">
        <v>89</v>
      </c>
      <c r="F8" s="16" t="s">
        <v>90</v>
      </c>
      <c r="G8" s="16" t="s">
        <v>90</v>
      </c>
      <c r="H8" s="16" t="s">
        <v>215</v>
      </c>
      <c r="I8" s="16" t="s">
        <v>215</v>
      </c>
      <c r="J8" s="16" t="s">
        <v>89</v>
      </c>
      <c r="K8" s="16" t="s">
        <v>143</v>
      </c>
      <c r="L8" s="16" t="s">
        <v>143</v>
      </c>
      <c r="M8" s="16" t="s">
        <v>143</v>
      </c>
      <c r="N8" s="16" t="s">
        <v>91</v>
      </c>
      <c r="O8" s="16" t="s">
        <v>143</v>
      </c>
      <c r="P8" s="16" t="s">
        <v>143</v>
      </c>
      <c r="Q8" s="16" t="s">
        <v>91</v>
      </c>
    </row>
    <row r="9" spans="1:17" s="5" customFormat="1" ht="31.5" customHeight="1">
      <c r="A9" s="13" t="s">
        <v>92</v>
      </c>
      <c r="B9" s="13" t="s">
        <v>148</v>
      </c>
      <c r="C9" s="56" t="s">
        <v>148</v>
      </c>
      <c r="D9" s="49" t="s">
        <v>93</v>
      </c>
      <c r="E9" s="12" t="s">
        <v>93</v>
      </c>
      <c r="F9" s="12" t="s">
        <v>93</v>
      </c>
      <c r="G9" s="12" t="s">
        <v>93</v>
      </c>
      <c r="H9" s="12" t="s">
        <v>93</v>
      </c>
      <c r="I9" s="12" t="s">
        <v>93</v>
      </c>
      <c r="J9" s="12" t="s">
        <v>94</v>
      </c>
      <c r="K9" s="13" t="s">
        <v>94</v>
      </c>
      <c r="L9" s="13" t="s">
        <v>94</v>
      </c>
      <c r="M9" s="13" t="s">
        <v>94</v>
      </c>
      <c r="N9" s="13" t="s">
        <v>94</v>
      </c>
      <c r="O9" s="13" t="s">
        <v>94</v>
      </c>
      <c r="P9" s="13" t="s">
        <v>94</v>
      </c>
      <c r="Q9" s="13" t="s">
        <v>94</v>
      </c>
    </row>
    <row r="10" spans="1:17" s="5" customFormat="1" ht="96.75" customHeight="1">
      <c r="A10" s="12" t="s">
        <v>112</v>
      </c>
      <c r="B10" s="12" t="s">
        <v>174</v>
      </c>
      <c r="C10" s="54" t="s">
        <v>175</v>
      </c>
      <c r="D10" s="49" t="s">
        <v>95</v>
      </c>
      <c r="E10" s="12" t="s">
        <v>213</v>
      </c>
      <c r="F10" s="12" t="s">
        <v>95</v>
      </c>
      <c r="G10" s="12" t="s">
        <v>214</v>
      </c>
      <c r="H10" s="12" t="s">
        <v>95</v>
      </c>
      <c r="I10" s="12" t="s">
        <v>218</v>
      </c>
      <c r="J10" s="12" t="s">
        <v>217</v>
      </c>
      <c r="K10" s="13" t="s">
        <v>226</v>
      </c>
      <c r="L10" s="12" t="s">
        <v>216</v>
      </c>
      <c r="M10" s="13" t="s">
        <v>169</v>
      </c>
      <c r="N10" s="13" t="s">
        <v>170</v>
      </c>
      <c r="O10" s="12" t="s">
        <v>171</v>
      </c>
      <c r="P10" s="13" t="s">
        <v>172</v>
      </c>
      <c r="Q10" s="12" t="s">
        <v>173</v>
      </c>
    </row>
    <row r="11" spans="1:17" s="3" customFormat="1" ht="15">
      <c r="A11" s="16" t="s">
        <v>154</v>
      </c>
      <c r="B11" s="46" t="s">
        <v>149</v>
      </c>
      <c r="C11" s="57" t="s">
        <v>155</v>
      </c>
      <c r="D11" s="50" t="s">
        <v>156</v>
      </c>
      <c r="E11" s="16" t="s">
        <v>157</v>
      </c>
      <c r="F11" s="16" t="s">
        <v>158</v>
      </c>
      <c r="G11" s="16" t="s">
        <v>159</v>
      </c>
      <c r="H11" s="16" t="s">
        <v>160</v>
      </c>
      <c r="I11" s="16" t="s">
        <v>161</v>
      </c>
      <c r="J11" s="16" t="s">
        <v>162</v>
      </c>
      <c r="K11" s="17" t="s">
        <v>163</v>
      </c>
      <c r="L11" s="18" t="s">
        <v>164</v>
      </c>
      <c r="M11" s="16" t="s">
        <v>165</v>
      </c>
      <c r="N11" s="17" t="s">
        <v>166</v>
      </c>
      <c r="O11" s="17" t="s">
        <v>105</v>
      </c>
      <c r="P11" s="17" t="s">
        <v>167</v>
      </c>
      <c r="Q11" s="17" t="s">
        <v>168</v>
      </c>
    </row>
    <row r="12" spans="1:17" ht="15">
      <c r="A12" s="22" t="s">
        <v>0</v>
      </c>
      <c r="B12" s="47">
        <v>136.14065266166688</v>
      </c>
      <c r="C12" s="58"/>
      <c r="D12" s="51">
        <v>100</v>
      </c>
      <c r="E12" s="9"/>
      <c r="F12" s="9"/>
      <c r="G12" s="9"/>
      <c r="H12" s="10">
        <v>119</v>
      </c>
      <c r="I12" s="10"/>
      <c r="J12" s="11">
        <f>100/2.805</f>
        <v>35.650623885918</v>
      </c>
      <c r="K12" s="23">
        <f>J12*3.81</f>
        <v>135.82887700534758</v>
      </c>
      <c r="L12" s="23">
        <f aca="true" t="shared" si="0" ref="L12:L36">100*L13/F13</f>
        <v>136.26430532333373</v>
      </c>
      <c r="M12" s="23">
        <f aca="true" t="shared" si="1" ref="M12:M38">K12-L12</f>
        <v>-0.4354283179861511</v>
      </c>
      <c r="N12" s="14">
        <f>M12*100/K12</f>
        <v>-0.3205712419819302</v>
      </c>
      <c r="O12" s="14">
        <f>(K12+L12)/2</f>
        <v>136.04659116434067</v>
      </c>
      <c r="P12" s="15">
        <v>136.14065266166688</v>
      </c>
      <c r="Q12" s="28"/>
    </row>
    <row r="13" spans="1:17" ht="15">
      <c r="A13" s="22" t="s">
        <v>1</v>
      </c>
      <c r="B13" s="47">
        <v>153.8289646603452</v>
      </c>
      <c r="C13" s="59">
        <v>12.992674600023294</v>
      </c>
      <c r="D13" s="51">
        <v>113.1</v>
      </c>
      <c r="E13" s="9"/>
      <c r="F13" s="9">
        <v>113.1</v>
      </c>
      <c r="G13" s="9"/>
      <c r="H13" s="10">
        <v>142</v>
      </c>
      <c r="I13" s="10"/>
      <c r="J13" s="11">
        <f>113.1/2.805</f>
        <v>40.320855614973254</v>
      </c>
      <c r="K13" s="23">
        <f>381*0.403</f>
        <v>153.543</v>
      </c>
      <c r="L13" s="23">
        <f t="shared" si="0"/>
        <v>154.11492932069044</v>
      </c>
      <c r="M13" s="23">
        <f t="shared" si="1"/>
        <v>-0.5719293206904297</v>
      </c>
      <c r="N13" s="14">
        <f aca="true" t="shared" si="2" ref="N13:N66">M13*100/K13</f>
        <v>-0.37248804614370545</v>
      </c>
      <c r="O13" s="14">
        <f aca="true" t="shared" si="3" ref="O13:O66">(K13+L13)/2</f>
        <v>153.8289646603452</v>
      </c>
      <c r="P13" s="15">
        <v>153.8289646603452</v>
      </c>
      <c r="Q13" s="29">
        <f>(P13-P12)/P12*100</f>
        <v>12.992674600023294</v>
      </c>
    </row>
    <row r="14" spans="1:17" ht="15">
      <c r="A14" s="22" t="s">
        <v>2</v>
      </c>
      <c r="B14" s="47">
        <v>156.5494990242314</v>
      </c>
      <c r="C14" s="59">
        <v>1.7685449355348322</v>
      </c>
      <c r="D14" s="51">
        <v>115.1</v>
      </c>
      <c r="E14" s="9"/>
      <c r="F14" s="9">
        <v>101.8</v>
      </c>
      <c r="G14" s="9"/>
      <c r="H14" s="10">
        <v>144</v>
      </c>
      <c r="I14" s="10"/>
      <c r="J14" s="11">
        <f>115.1/2.805</f>
        <v>41.03386809269162</v>
      </c>
      <c r="K14" s="23">
        <f>381*0.41</f>
        <v>156.20999999999998</v>
      </c>
      <c r="L14" s="23">
        <f t="shared" si="0"/>
        <v>156.88899804846287</v>
      </c>
      <c r="M14" s="23">
        <f t="shared" si="1"/>
        <v>-0.678998048462887</v>
      </c>
      <c r="N14" s="14">
        <f t="shared" si="2"/>
        <v>-0.43467002654304276</v>
      </c>
      <c r="O14" s="14">
        <f t="shared" si="3"/>
        <v>156.5494990242314</v>
      </c>
      <c r="P14" s="15">
        <v>156.5494990242314</v>
      </c>
      <c r="Q14" s="29">
        <f aca="true" t="shared" si="4" ref="Q14:Q64">(P14-P13)/P13*100</f>
        <v>1.7685449355348322</v>
      </c>
    </row>
    <row r="15" spans="1:17" ht="15">
      <c r="A15" s="22" t="s">
        <v>3</v>
      </c>
      <c r="B15" s="47">
        <v>163.69900148032184</v>
      </c>
      <c r="C15" s="59">
        <v>4.566927713376969</v>
      </c>
      <c r="D15" s="51">
        <v>120.3</v>
      </c>
      <c r="E15" s="9"/>
      <c r="F15" s="9">
        <v>104.5</v>
      </c>
      <c r="G15" s="9"/>
      <c r="H15" s="10">
        <v>150</v>
      </c>
      <c r="I15" s="10"/>
      <c r="J15" s="11">
        <f>120.3/2.805</f>
        <v>42.887700534759354</v>
      </c>
      <c r="K15" s="23">
        <f>381*0.429</f>
        <v>163.44899999999998</v>
      </c>
      <c r="L15" s="23">
        <f t="shared" si="0"/>
        <v>163.9490029606437</v>
      </c>
      <c r="M15" s="23">
        <f t="shared" si="1"/>
        <v>-0.5000029606437124</v>
      </c>
      <c r="N15" s="14">
        <f t="shared" si="2"/>
        <v>-0.305907629073113</v>
      </c>
      <c r="O15" s="14">
        <f t="shared" si="3"/>
        <v>163.69900148032184</v>
      </c>
      <c r="P15" s="15">
        <v>163.69900148032184</v>
      </c>
      <c r="Q15" s="29">
        <f t="shared" si="4"/>
        <v>4.566927713376969</v>
      </c>
    </row>
    <row r="16" spans="1:17" ht="15">
      <c r="A16" s="22" t="s">
        <v>4</v>
      </c>
      <c r="B16" s="47">
        <v>184.3967631683227</v>
      </c>
      <c r="C16" s="59">
        <v>12.643792265580151</v>
      </c>
      <c r="D16" s="51">
        <v>135.6</v>
      </c>
      <c r="E16" s="9"/>
      <c r="F16" s="9">
        <v>112.7</v>
      </c>
      <c r="G16" s="9"/>
      <c r="H16" s="10">
        <v>165</v>
      </c>
      <c r="I16" s="10"/>
      <c r="J16" s="11">
        <f>135.6/2.805</f>
        <v>48.34224598930481</v>
      </c>
      <c r="K16" s="23">
        <f>381*0.483</f>
        <v>184.023</v>
      </c>
      <c r="L16" s="23">
        <f t="shared" si="0"/>
        <v>184.77052633664545</v>
      </c>
      <c r="M16" s="23">
        <f t="shared" si="1"/>
        <v>-0.7475263366454499</v>
      </c>
      <c r="N16" s="14">
        <f t="shared" si="2"/>
        <v>-0.40621353670217847</v>
      </c>
      <c r="O16" s="14">
        <f t="shared" si="3"/>
        <v>184.3967631683227</v>
      </c>
      <c r="P16" s="15">
        <v>184.3967631683227</v>
      </c>
      <c r="Q16" s="29">
        <f t="shared" si="4"/>
        <v>12.643792265580151</v>
      </c>
    </row>
    <row r="17" spans="1:17" ht="15">
      <c r="A17" s="22" t="s">
        <v>5</v>
      </c>
      <c r="B17" s="47">
        <v>188.90000948436247</v>
      </c>
      <c r="C17" s="59">
        <v>2.4421504144999933</v>
      </c>
      <c r="D17" s="51">
        <v>138.9</v>
      </c>
      <c r="E17" s="9"/>
      <c r="F17" s="9">
        <v>102.4</v>
      </c>
      <c r="G17" s="9"/>
      <c r="H17" s="10">
        <v>168</v>
      </c>
      <c r="I17" s="10"/>
      <c r="J17" s="11">
        <f>138.9/2.805</f>
        <v>49.518716577540104</v>
      </c>
      <c r="K17" s="23">
        <f>381*0.495</f>
        <v>188.595</v>
      </c>
      <c r="L17" s="23">
        <f t="shared" si="0"/>
        <v>189.20501896872494</v>
      </c>
      <c r="M17" s="23">
        <f t="shared" si="1"/>
        <v>-0.610018968724944</v>
      </c>
      <c r="N17" s="14">
        <f t="shared" si="2"/>
        <v>-0.32345447584768633</v>
      </c>
      <c r="O17" s="14">
        <f t="shared" si="3"/>
        <v>188.90000948436247</v>
      </c>
      <c r="P17" s="15">
        <v>188.90000948436247</v>
      </c>
      <c r="Q17" s="29">
        <f t="shared" si="4"/>
        <v>2.4421504144999933</v>
      </c>
    </row>
    <row r="18" spans="1:17" ht="15">
      <c r="A18" s="22" t="s">
        <v>6</v>
      </c>
      <c r="B18" s="47">
        <v>223.5477687200008</v>
      </c>
      <c r="C18" s="59">
        <v>18.34185150663348</v>
      </c>
      <c r="D18" s="51">
        <v>164.3</v>
      </c>
      <c r="E18" s="9"/>
      <c r="F18" s="9">
        <v>118.3</v>
      </c>
      <c r="G18" s="9"/>
      <c r="H18" s="10">
        <v>200</v>
      </c>
      <c r="I18" s="10"/>
      <c r="J18" s="11">
        <f>164.3/2.805</f>
        <v>58.573975044563284</v>
      </c>
      <c r="K18" s="23">
        <f>381*0.586</f>
        <v>223.266</v>
      </c>
      <c r="L18" s="23">
        <f t="shared" si="0"/>
        <v>223.8295374400016</v>
      </c>
      <c r="M18" s="23">
        <f t="shared" si="1"/>
        <v>-0.5635374400015962</v>
      </c>
      <c r="N18" s="14">
        <f t="shared" si="2"/>
        <v>-0.25240629563014355</v>
      </c>
      <c r="O18" s="14">
        <f t="shared" si="3"/>
        <v>223.5477687200008</v>
      </c>
      <c r="P18" s="15">
        <v>223.5477687200008</v>
      </c>
      <c r="Q18" s="29">
        <f t="shared" si="4"/>
        <v>18.34185150663348</v>
      </c>
    </row>
    <row r="19" spans="1:17" ht="15">
      <c r="A19" s="22" t="s">
        <v>7</v>
      </c>
      <c r="B19" s="47">
        <v>238.47555822424084</v>
      </c>
      <c r="C19" s="59">
        <v>6.677673228283251</v>
      </c>
      <c r="D19" s="51">
        <v>175.3</v>
      </c>
      <c r="E19" s="9"/>
      <c r="F19" s="9">
        <v>106.7</v>
      </c>
      <c r="G19" s="9"/>
      <c r="H19" s="10">
        <v>216</v>
      </c>
      <c r="I19" s="10"/>
      <c r="J19" s="11">
        <f>175.3/2.805</f>
        <v>62.49554367201426</v>
      </c>
      <c r="K19" s="23">
        <f>381*0.625</f>
        <v>238.125</v>
      </c>
      <c r="L19" s="23">
        <f t="shared" si="0"/>
        <v>238.8261164484817</v>
      </c>
      <c r="M19" s="23">
        <f t="shared" si="1"/>
        <v>-0.701116448481713</v>
      </c>
      <c r="N19" s="14">
        <f t="shared" si="2"/>
        <v>-0.2944321043492758</v>
      </c>
      <c r="O19" s="14">
        <f t="shared" si="3"/>
        <v>238.47555822424084</v>
      </c>
      <c r="P19" s="15">
        <v>238.47555822424084</v>
      </c>
      <c r="Q19" s="29">
        <f t="shared" si="4"/>
        <v>6.677673228283251</v>
      </c>
    </row>
    <row r="20" spans="1:17" ht="15">
      <c r="A20" s="22" t="s">
        <v>8</v>
      </c>
      <c r="B20" s="47">
        <v>237.30699293311966</v>
      </c>
      <c r="C20" s="59">
        <v>-0.49001469996450125</v>
      </c>
      <c r="D20" s="51">
        <v>174.5</v>
      </c>
      <c r="E20" s="9"/>
      <c r="F20" s="9">
        <v>99.5</v>
      </c>
      <c r="G20" s="9"/>
      <c r="H20" s="10">
        <v>218</v>
      </c>
      <c r="I20" s="10"/>
      <c r="J20" s="11">
        <f>174.5/2.805</f>
        <v>62.21033868092691</v>
      </c>
      <c r="K20" s="23">
        <f>381*0.622</f>
        <v>236.982</v>
      </c>
      <c r="L20" s="23">
        <f t="shared" si="0"/>
        <v>237.6319858662393</v>
      </c>
      <c r="M20" s="23">
        <f t="shared" si="1"/>
        <v>-0.649985866239291</v>
      </c>
      <c r="N20" s="14">
        <f t="shared" si="2"/>
        <v>-0.2742764708877852</v>
      </c>
      <c r="O20" s="14">
        <f t="shared" si="3"/>
        <v>237.30699293311966</v>
      </c>
      <c r="P20" s="15">
        <v>237.30699293311966</v>
      </c>
      <c r="Q20" s="29">
        <f t="shared" si="4"/>
        <v>-0.49001469996450125</v>
      </c>
    </row>
    <row r="21" spans="1:17" ht="15">
      <c r="A21" s="22" t="s">
        <v>9</v>
      </c>
      <c r="B21" s="47">
        <v>174.26943881290984</v>
      </c>
      <c r="C21" s="59">
        <v>-26.563715354977223</v>
      </c>
      <c r="D21" s="51">
        <v>128.1</v>
      </c>
      <c r="E21" s="9"/>
      <c r="F21" s="9">
        <v>73.4</v>
      </c>
      <c r="G21" s="9"/>
      <c r="H21" s="10">
        <v>185</v>
      </c>
      <c r="I21" s="10"/>
      <c r="J21" s="11">
        <f>128.1/2.805</f>
        <v>45.66844919786096</v>
      </c>
      <c r="K21" s="23">
        <f>381*0.457</f>
        <v>174.11700000000002</v>
      </c>
      <c r="L21" s="23">
        <f t="shared" si="0"/>
        <v>174.42187762581966</v>
      </c>
      <c r="M21" s="23">
        <f t="shared" si="1"/>
        <v>-0.3048776258196426</v>
      </c>
      <c r="N21" s="14">
        <f t="shared" si="2"/>
        <v>-0.1750992871572808</v>
      </c>
      <c r="O21" s="14">
        <f t="shared" si="3"/>
        <v>174.26943881290984</v>
      </c>
      <c r="P21" s="15">
        <v>174.26943881290984</v>
      </c>
      <c r="Q21" s="29">
        <f t="shared" si="4"/>
        <v>-26.563715354977223</v>
      </c>
    </row>
    <row r="22" spans="1:17" ht="15">
      <c r="A22" s="22" t="s">
        <v>10</v>
      </c>
      <c r="B22" s="47">
        <v>162.9729387288836</v>
      </c>
      <c r="C22" s="59">
        <v>-6.4822037420765435</v>
      </c>
      <c r="D22" s="51">
        <v>119.9</v>
      </c>
      <c r="E22" s="9"/>
      <c r="F22" s="9">
        <v>93.6</v>
      </c>
      <c r="G22" s="9"/>
      <c r="H22" s="10">
        <v>173</v>
      </c>
      <c r="I22" s="10"/>
      <c r="J22" s="11">
        <f>119.9/2.805</f>
        <v>42.745098039215684</v>
      </c>
      <c r="K22" s="23">
        <f>381*0.427</f>
        <v>162.68699999999998</v>
      </c>
      <c r="L22" s="23">
        <f t="shared" si="0"/>
        <v>163.2588774577672</v>
      </c>
      <c r="M22" s="23">
        <f t="shared" si="1"/>
        <v>-0.571877457767215</v>
      </c>
      <c r="N22" s="14">
        <f t="shared" si="2"/>
        <v>-0.35152007091360404</v>
      </c>
      <c r="O22" s="14">
        <f t="shared" si="3"/>
        <v>162.9729387288836</v>
      </c>
      <c r="P22" s="15">
        <v>162.9729387288836</v>
      </c>
      <c r="Q22" s="29">
        <f t="shared" si="4"/>
        <v>-6.4822037420765435</v>
      </c>
    </row>
    <row r="23" spans="1:17" ht="15">
      <c r="A23" s="22" t="s">
        <v>11</v>
      </c>
      <c r="B23" s="47">
        <v>175.38164663354985</v>
      </c>
      <c r="C23" s="59">
        <v>7.613968307529239</v>
      </c>
      <c r="D23" s="51">
        <v>129</v>
      </c>
      <c r="E23" s="9"/>
      <c r="F23" s="9">
        <v>107.5</v>
      </c>
      <c r="G23" s="9"/>
      <c r="H23" s="10">
        <v>181</v>
      </c>
      <c r="I23" s="10"/>
      <c r="J23" s="11">
        <f>129/2.805</f>
        <v>45.98930481283422</v>
      </c>
      <c r="K23" s="23">
        <f>381*0.46</f>
        <v>175.26000000000002</v>
      </c>
      <c r="L23" s="23">
        <f t="shared" si="0"/>
        <v>175.5032932670997</v>
      </c>
      <c r="M23" s="23">
        <f t="shared" si="1"/>
        <v>-0.24329326709968768</v>
      </c>
      <c r="N23" s="14">
        <f t="shared" si="2"/>
        <v>-0.13881847945891113</v>
      </c>
      <c r="O23" s="14">
        <f t="shared" si="3"/>
        <v>175.38164663354985</v>
      </c>
      <c r="P23" s="15">
        <v>175.38164663354985</v>
      </c>
      <c r="Q23" s="29">
        <f t="shared" si="4"/>
        <v>7.613968307529239</v>
      </c>
    </row>
    <row r="24" spans="1:17" ht="15">
      <c r="A24" s="22" t="s">
        <v>12</v>
      </c>
      <c r="B24" s="47">
        <v>202.50865186175008</v>
      </c>
      <c r="C24" s="59">
        <v>15.467413922096759</v>
      </c>
      <c r="D24" s="51">
        <v>149</v>
      </c>
      <c r="E24" s="9"/>
      <c r="F24" s="9">
        <v>115.5</v>
      </c>
      <c r="G24" s="9"/>
      <c r="H24" s="10">
        <v>208</v>
      </c>
      <c r="I24" s="10"/>
      <c r="J24" s="11">
        <f>149/2.805</f>
        <v>53.11942959001782</v>
      </c>
      <c r="K24" s="23">
        <f>381*0.531</f>
        <v>202.311</v>
      </c>
      <c r="L24" s="23">
        <f t="shared" si="0"/>
        <v>202.70630372350016</v>
      </c>
      <c r="M24" s="23">
        <f t="shared" si="1"/>
        <v>-0.39530372350014886</v>
      </c>
      <c r="N24" s="14">
        <f t="shared" si="2"/>
        <v>-0.19539408311962714</v>
      </c>
      <c r="O24" s="14">
        <f t="shared" si="3"/>
        <v>202.50865186175008</v>
      </c>
      <c r="P24" s="15">
        <v>202.50865186175008</v>
      </c>
      <c r="Q24" s="29">
        <f t="shared" si="4"/>
        <v>15.467413922096759</v>
      </c>
    </row>
    <row r="25" spans="1:17" ht="15">
      <c r="A25" s="22" t="s">
        <v>13</v>
      </c>
      <c r="B25" s="47">
        <v>231.48015257798033</v>
      </c>
      <c r="C25" s="59">
        <v>14.306302693678838</v>
      </c>
      <c r="D25" s="51">
        <v>170.3</v>
      </c>
      <c r="E25" s="9"/>
      <c r="F25" s="9">
        <v>114.3</v>
      </c>
      <c r="G25" s="9"/>
      <c r="H25" s="10">
        <v>240</v>
      </c>
      <c r="I25" s="10"/>
      <c r="J25" s="11">
        <f>170.3/2.805</f>
        <v>60.71301247771836</v>
      </c>
      <c r="K25" s="23">
        <f>381*0.607</f>
        <v>231.267</v>
      </c>
      <c r="L25" s="23">
        <f t="shared" si="0"/>
        <v>231.69330515596067</v>
      </c>
      <c r="M25" s="23">
        <f t="shared" si="1"/>
        <v>-0.42630515596067653</v>
      </c>
      <c r="N25" s="14">
        <f t="shared" si="2"/>
        <v>-0.18433462446465623</v>
      </c>
      <c r="O25" s="14">
        <f t="shared" si="3"/>
        <v>231.48015257798033</v>
      </c>
      <c r="P25" s="15">
        <v>231.48015257798033</v>
      </c>
      <c r="Q25" s="29">
        <f t="shared" si="4"/>
        <v>14.306302693678838</v>
      </c>
    </row>
    <row r="26" spans="1:17" ht="15">
      <c r="A26" s="22" t="s">
        <v>14</v>
      </c>
      <c r="B26" s="47">
        <v>249.35384482648482</v>
      </c>
      <c r="C26" s="59">
        <v>7.721479379310176</v>
      </c>
      <c r="D26" s="51">
        <v>183.4</v>
      </c>
      <c r="E26" s="9"/>
      <c r="F26" s="9">
        <v>107.7</v>
      </c>
      <c r="G26" s="9"/>
      <c r="H26" s="10">
        <v>254</v>
      </c>
      <c r="I26" s="10"/>
      <c r="J26" s="11">
        <f>183.4/2.805</f>
        <v>65.38324420677361</v>
      </c>
      <c r="K26" s="23">
        <f>381*0.654</f>
        <v>249.174</v>
      </c>
      <c r="L26" s="23">
        <f t="shared" si="0"/>
        <v>249.53368965296966</v>
      </c>
      <c r="M26" s="23">
        <f t="shared" si="1"/>
        <v>-0.3596896529696494</v>
      </c>
      <c r="N26" s="14">
        <f t="shared" si="2"/>
        <v>-0.1443528028484711</v>
      </c>
      <c r="O26" s="14">
        <f t="shared" si="3"/>
        <v>249.35384482648482</v>
      </c>
      <c r="P26" s="15">
        <v>249.35384482648482</v>
      </c>
      <c r="Q26" s="29">
        <f t="shared" si="4"/>
        <v>7.721479379310176</v>
      </c>
    </row>
    <row r="27" spans="1:17" ht="15">
      <c r="A27" s="22" t="s">
        <v>15</v>
      </c>
      <c r="B27" s="47">
        <v>229.15123039553956</v>
      </c>
      <c r="C27" s="59">
        <v>-8.10198633391975</v>
      </c>
      <c r="D27" s="51">
        <v>168.6</v>
      </c>
      <c r="E27" s="9"/>
      <c r="F27" s="9">
        <v>91.9</v>
      </c>
      <c r="G27" s="9"/>
      <c r="H27" s="10">
        <v>235</v>
      </c>
      <c r="I27" s="10"/>
      <c r="J27" s="11">
        <f>168.6/2.805</f>
        <v>60.10695187165775</v>
      </c>
      <c r="K27" s="23">
        <f>381*0.601</f>
        <v>228.981</v>
      </c>
      <c r="L27" s="23">
        <f t="shared" si="0"/>
        <v>229.32146079107912</v>
      </c>
      <c r="M27" s="23">
        <f t="shared" si="1"/>
        <v>-0.3404607910791242</v>
      </c>
      <c r="N27" s="14">
        <f t="shared" si="2"/>
        <v>-0.1486851708565882</v>
      </c>
      <c r="O27" s="14">
        <f t="shared" si="3"/>
        <v>229.15123039553956</v>
      </c>
      <c r="P27" s="15">
        <v>229.15123039553956</v>
      </c>
      <c r="Q27" s="29">
        <f t="shared" si="4"/>
        <v>-8.10198633391975</v>
      </c>
    </row>
    <row r="28" spans="1:17" ht="15">
      <c r="A28" s="22" t="s">
        <v>16</v>
      </c>
      <c r="B28" s="47">
        <v>213.96362218943398</v>
      </c>
      <c r="C28" s="59">
        <v>-6.627766379386286</v>
      </c>
      <c r="D28" s="51">
        <v>157.5</v>
      </c>
      <c r="E28" s="9"/>
      <c r="F28" s="9">
        <v>93.4</v>
      </c>
      <c r="G28" s="9"/>
      <c r="H28" s="10">
        <v>222</v>
      </c>
      <c r="I28" s="10"/>
      <c r="J28" s="11">
        <f>157.5/2.805</f>
        <v>56.149732620320854</v>
      </c>
      <c r="K28" s="23">
        <f>381*0.561</f>
        <v>213.741</v>
      </c>
      <c r="L28" s="23">
        <f t="shared" si="0"/>
        <v>214.18624437886794</v>
      </c>
      <c r="M28" s="23">
        <f t="shared" si="1"/>
        <v>-0.4452443788679261</v>
      </c>
      <c r="N28" s="14">
        <f t="shared" si="2"/>
        <v>-0.208310234755113</v>
      </c>
      <c r="O28" s="14">
        <f t="shared" si="3"/>
        <v>213.96362218943398</v>
      </c>
      <c r="P28" s="15">
        <v>213.96362218943398</v>
      </c>
      <c r="Q28" s="29">
        <f t="shared" si="4"/>
        <v>-6.627766379386286</v>
      </c>
    </row>
    <row r="29" spans="1:17" ht="15">
      <c r="A29" s="22" t="s">
        <v>17</v>
      </c>
      <c r="B29" s="47">
        <v>243.4943799293864</v>
      </c>
      <c r="C29" s="59">
        <v>13.80176566360762</v>
      </c>
      <c r="D29" s="51">
        <v>179.1</v>
      </c>
      <c r="E29" s="9"/>
      <c r="F29" s="9">
        <v>113.7</v>
      </c>
      <c r="G29" s="9"/>
      <c r="H29" s="10">
        <v>243</v>
      </c>
      <c r="I29" s="10"/>
      <c r="J29" s="11">
        <f>179.1/2.805</f>
        <v>63.85026737967914</v>
      </c>
      <c r="K29" s="23">
        <f>381*0.639</f>
        <v>243.459</v>
      </c>
      <c r="L29" s="23">
        <f t="shared" si="0"/>
        <v>243.52975985877285</v>
      </c>
      <c r="M29" s="23">
        <f t="shared" si="1"/>
        <v>-0.07075985877284552</v>
      </c>
      <c r="N29" s="14">
        <f t="shared" si="2"/>
        <v>-0.02906438405351436</v>
      </c>
      <c r="O29" s="14">
        <f t="shared" si="3"/>
        <v>243.4943799293864</v>
      </c>
      <c r="P29" s="15">
        <v>243.4943799293864</v>
      </c>
      <c r="Q29" s="29">
        <f t="shared" si="4"/>
        <v>13.80176566360762</v>
      </c>
    </row>
    <row r="30" spans="1:17" ht="15">
      <c r="A30" s="22" t="s">
        <v>18</v>
      </c>
      <c r="B30" s="47">
        <v>282.7200255980176</v>
      </c>
      <c r="C30" s="59">
        <v>16.109466542926654</v>
      </c>
      <c r="D30" s="51">
        <v>208.1</v>
      </c>
      <c r="E30" s="9"/>
      <c r="F30" s="9">
        <v>116.1</v>
      </c>
      <c r="G30" s="9"/>
      <c r="H30" s="10">
        <v>275</v>
      </c>
      <c r="I30" s="10"/>
      <c r="J30" s="11">
        <f>208.1/2.805</f>
        <v>74.18894830659536</v>
      </c>
      <c r="K30" s="23">
        <f>381*0.742</f>
        <v>282.702</v>
      </c>
      <c r="L30" s="23">
        <f t="shared" si="0"/>
        <v>282.73805119603526</v>
      </c>
      <c r="M30" s="23">
        <f t="shared" si="1"/>
        <v>-0.036051196035259636</v>
      </c>
      <c r="N30" s="14">
        <f t="shared" si="2"/>
        <v>-0.012752366815678573</v>
      </c>
      <c r="O30" s="14">
        <f t="shared" si="3"/>
        <v>282.7200255980176</v>
      </c>
      <c r="P30" s="15">
        <v>282.7200255980176</v>
      </c>
      <c r="Q30" s="29">
        <f t="shared" si="4"/>
        <v>16.109466542926654</v>
      </c>
    </row>
    <row r="31" spans="1:17" ht="15">
      <c r="A31" s="22" t="s">
        <v>19</v>
      </c>
      <c r="B31" s="47">
        <v>294.42165564753634</v>
      </c>
      <c r="C31" s="59">
        <v>4.138946303774231</v>
      </c>
      <c r="D31" s="51">
        <v>216.7</v>
      </c>
      <c r="E31" s="9"/>
      <c r="F31" s="9">
        <v>104.1</v>
      </c>
      <c r="G31" s="9"/>
      <c r="H31" s="10">
        <v>288</v>
      </c>
      <c r="I31" s="10"/>
      <c r="J31" s="11">
        <f>216.7/2.805</f>
        <v>77.25490196078431</v>
      </c>
      <c r="K31" s="23">
        <f>381*0.773</f>
        <v>294.51300000000003</v>
      </c>
      <c r="L31" s="23">
        <f t="shared" si="0"/>
        <v>294.3303112950727</v>
      </c>
      <c r="M31" s="23">
        <f t="shared" si="1"/>
        <v>0.18268870492732958</v>
      </c>
      <c r="N31" s="14">
        <f t="shared" si="2"/>
        <v>0.06203077790363398</v>
      </c>
      <c r="O31" s="14">
        <f t="shared" si="3"/>
        <v>294.42165564753634</v>
      </c>
      <c r="P31" s="15">
        <v>294.42165564753634</v>
      </c>
      <c r="Q31" s="29">
        <f t="shared" si="4"/>
        <v>4.138946303774231</v>
      </c>
    </row>
    <row r="32" spans="1:17" ht="15">
      <c r="A32" s="22" t="s">
        <v>20</v>
      </c>
      <c r="B32" s="47">
        <v>297.9021375153068</v>
      </c>
      <c r="C32" s="59">
        <v>1.1821419386137333</v>
      </c>
      <c r="D32" s="51">
        <v>219.4</v>
      </c>
      <c r="E32" s="9"/>
      <c r="F32" s="9">
        <v>101.2</v>
      </c>
      <c r="G32" s="9"/>
      <c r="H32" s="10">
        <v>292</v>
      </c>
      <c r="I32" s="10"/>
      <c r="J32" s="11">
        <f>219.4/2.805</f>
        <v>78.2174688057041</v>
      </c>
      <c r="K32" s="23">
        <f>381*0.782</f>
        <v>297.942</v>
      </c>
      <c r="L32" s="23">
        <f t="shared" si="0"/>
        <v>297.8622750306136</v>
      </c>
      <c r="M32" s="23">
        <f t="shared" si="1"/>
        <v>0.07972496938640461</v>
      </c>
      <c r="N32" s="14">
        <f t="shared" si="2"/>
        <v>0.0267585534722881</v>
      </c>
      <c r="O32" s="14">
        <f t="shared" si="3"/>
        <v>297.9021375153068</v>
      </c>
      <c r="P32" s="15">
        <v>297.9021375153068</v>
      </c>
      <c r="Q32" s="29">
        <f t="shared" si="4"/>
        <v>1.1821419386137333</v>
      </c>
    </row>
    <row r="33" spans="1:17" ht="15">
      <c r="A33" s="22" t="s">
        <v>21</v>
      </c>
      <c r="B33" s="47">
        <v>314.13591894113335</v>
      </c>
      <c r="C33" s="59">
        <v>5.449367218787565</v>
      </c>
      <c r="D33" s="51">
        <v>231.3</v>
      </c>
      <c r="E33" s="9"/>
      <c r="F33" s="9">
        <v>105.4</v>
      </c>
      <c r="G33" s="9"/>
      <c r="H33" s="10">
        <v>309</v>
      </c>
      <c r="I33" s="10"/>
      <c r="J33" s="11">
        <f>231.3/2.805</f>
        <v>82.45989304812834</v>
      </c>
      <c r="K33" s="23">
        <f>381*0.825</f>
        <v>314.325</v>
      </c>
      <c r="L33" s="23">
        <f t="shared" si="0"/>
        <v>313.9468378822668</v>
      </c>
      <c r="M33" s="23">
        <f t="shared" si="1"/>
        <v>0.3781621177332113</v>
      </c>
      <c r="N33" s="14">
        <f t="shared" si="2"/>
        <v>0.12030927152889885</v>
      </c>
      <c r="O33" s="14">
        <f t="shared" si="3"/>
        <v>314.13591894113335</v>
      </c>
      <c r="P33" s="15">
        <v>314.13591894113335</v>
      </c>
      <c r="Q33" s="29">
        <f t="shared" si="4"/>
        <v>5.449367218787565</v>
      </c>
    </row>
    <row r="34" spans="1:17" ht="15">
      <c r="A34" s="22" t="s">
        <v>22</v>
      </c>
      <c r="B34" s="47">
        <v>314.6403657790156</v>
      </c>
      <c r="C34" s="59">
        <v>0.1605823490617083</v>
      </c>
      <c r="D34" s="51">
        <v>231.8</v>
      </c>
      <c r="E34" s="9"/>
      <c r="F34" s="9">
        <v>100.2</v>
      </c>
      <c r="G34" s="9"/>
      <c r="H34" s="10">
        <v>310</v>
      </c>
      <c r="I34" s="10"/>
      <c r="J34" s="11">
        <f>231.8/2.805</f>
        <v>82.63814616755793</v>
      </c>
      <c r="K34" s="23">
        <f>381*0.826</f>
        <v>314.70599999999996</v>
      </c>
      <c r="L34" s="23">
        <f t="shared" si="0"/>
        <v>314.5747315580313</v>
      </c>
      <c r="M34" s="23">
        <f t="shared" si="1"/>
        <v>0.1312684419686434</v>
      </c>
      <c r="N34" s="14">
        <f t="shared" si="2"/>
        <v>0.04171145194837195</v>
      </c>
      <c r="O34" s="14">
        <f t="shared" si="3"/>
        <v>314.6403657790156</v>
      </c>
      <c r="P34" s="15">
        <v>314.6403657790156</v>
      </c>
      <c r="Q34" s="29">
        <f t="shared" si="4"/>
        <v>0.1605823490617083</v>
      </c>
    </row>
    <row r="35" spans="1:17" ht="15">
      <c r="A35" s="22" t="s">
        <v>23</v>
      </c>
      <c r="B35" s="47">
        <v>336.0039066519887</v>
      </c>
      <c r="C35" s="59">
        <v>6.789828387110875</v>
      </c>
      <c r="D35" s="51">
        <v>247.5</v>
      </c>
      <c r="E35" s="9"/>
      <c r="F35" s="9">
        <v>106.8</v>
      </c>
      <c r="G35" s="9"/>
      <c r="H35" s="10">
        <v>327</v>
      </c>
      <c r="I35" s="10"/>
      <c r="J35" s="11">
        <f>247.5/2.805</f>
        <v>88.23529411764706</v>
      </c>
      <c r="K35" s="23">
        <f>381*0.882</f>
        <v>336.04200000000003</v>
      </c>
      <c r="L35" s="23">
        <f t="shared" si="0"/>
        <v>335.9658133039774</v>
      </c>
      <c r="M35" s="23">
        <f t="shared" si="1"/>
        <v>0.07618669602260297</v>
      </c>
      <c r="N35" s="14">
        <f t="shared" si="2"/>
        <v>0.022671777939246573</v>
      </c>
      <c r="O35" s="14">
        <f t="shared" si="3"/>
        <v>336.0039066519887</v>
      </c>
      <c r="P35" s="15">
        <v>336.0039066519887</v>
      </c>
      <c r="Q35" s="29">
        <f t="shared" si="4"/>
        <v>6.789828387110875</v>
      </c>
    </row>
    <row r="36" spans="1:17" ht="15">
      <c r="A36" s="22" t="s">
        <v>24</v>
      </c>
      <c r="B36" s="47">
        <v>325.65293654577704</v>
      </c>
      <c r="C36" s="59">
        <v>-3.0806100468744053</v>
      </c>
      <c r="D36" s="51">
        <v>239.8</v>
      </c>
      <c r="E36" s="9"/>
      <c r="F36" s="9">
        <v>96.9</v>
      </c>
      <c r="G36" s="9"/>
      <c r="H36" s="10">
        <v>316</v>
      </c>
      <c r="I36" s="10"/>
      <c r="J36" s="11">
        <f>239.8/2.805</f>
        <v>85.49019607843137</v>
      </c>
      <c r="K36" s="23">
        <f>381*0.855</f>
        <v>325.755</v>
      </c>
      <c r="L36" s="23">
        <f t="shared" si="0"/>
        <v>325.55087309155414</v>
      </c>
      <c r="M36" s="23">
        <f t="shared" si="1"/>
        <v>0.20412690844585768</v>
      </c>
      <c r="N36" s="14">
        <f t="shared" si="2"/>
        <v>0.06266270922805718</v>
      </c>
      <c r="O36" s="14">
        <f t="shared" si="3"/>
        <v>325.65293654577704</v>
      </c>
      <c r="P36" s="15">
        <v>325.65293654577704</v>
      </c>
      <c r="Q36" s="29">
        <f t="shared" si="4"/>
        <v>-3.0806100468744053</v>
      </c>
    </row>
    <row r="37" spans="1:17" ht="15">
      <c r="A37" s="22" t="s">
        <v>25</v>
      </c>
      <c r="B37" s="47">
        <v>345.6510136116152</v>
      </c>
      <c r="C37" s="59">
        <v>6.140917161060836</v>
      </c>
      <c r="D37" s="51">
        <v>254.5</v>
      </c>
      <c r="E37" s="9"/>
      <c r="F37" s="9">
        <v>106.2</v>
      </c>
      <c r="G37" s="9"/>
      <c r="H37" s="10">
        <v>339</v>
      </c>
      <c r="I37" s="10"/>
      <c r="J37" s="11">
        <f>254.5/2.805</f>
        <v>90.73083778966131</v>
      </c>
      <c r="K37" s="23">
        <f>381*0.907</f>
        <v>345.567</v>
      </c>
      <c r="L37" s="23">
        <f>100*L38/F38</f>
        <v>345.7350272232305</v>
      </c>
      <c r="M37" s="23">
        <f t="shared" si="1"/>
        <v>-0.16802722323046737</v>
      </c>
      <c r="N37" s="14">
        <f t="shared" si="2"/>
        <v>-0.048623631084700615</v>
      </c>
      <c r="O37" s="14">
        <f t="shared" si="3"/>
        <v>345.6510136116152</v>
      </c>
      <c r="P37" s="15">
        <v>345.6510136116152</v>
      </c>
      <c r="Q37" s="29">
        <f t="shared" si="4"/>
        <v>6.140917161060836</v>
      </c>
    </row>
    <row r="38" spans="1:17" s="5" customFormat="1" ht="15">
      <c r="A38" s="19" t="s">
        <v>102</v>
      </c>
      <c r="B38" s="48">
        <v>381</v>
      </c>
      <c r="C38" s="60">
        <v>10.226785108781444</v>
      </c>
      <c r="D38" s="52">
        <v>280.5</v>
      </c>
      <c r="E38" s="25">
        <v>100</v>
      </c>
      <c r="F38" s="25">
        <v>110.2</v>
      </c>
      <c r="G38" s="25">
        <v>110.2</v>
      </c>
      <c r="H38" s="26">
        <v>379</v>
      </c>
      <c r="I38" s="26">
        <v>381.23110681634955</v>
      </c>
      <c r="J38" s="25">
        <v>100</v>
      </c>
      <c r="K38" s="20">
        <v>381</v>
      </c>
      <c r="L38" s="20">
        <v>381</v>
      </c>
      <c r="M38" s="20">
        <f t="shared" si="1"/>
        <v>0</v>
      </c>
      <c r="N38" s="21">
        <f t="shared" si="2"/>
        <v>0</v>
      </c>
      <c r="O38" s="42">
        <f t="shared" si="3"/>
        <v>381</v>
      </c>
      <c r="P38" s="20">
        <v>381</v>
      </c>
      <c r="Q38" s="21">
        <f t="shared" si="4"/>
        <v>10.226785108781444</v>
      </c>
    </row>
    <row r="39" spans="1:17" ht="15.75">
      <c r="A39" s="22" t="s">
        <v>26</v>
      </c>
      <c r="B39" s="47">
        <v>404.241</v>
      </c>
      <c r="C39" s="59">
        <v>6.1</v>
      </c>
      <c r="D39" s="53" t="s">
        <v>53</v>
      </c>
      <c r="E39" s="9">
        <v>106.1</v>
      </c>
      <c r="F39" s="9">
        <v>106.1</v>
      </c>
      <c r="G39" s="9">
        <v>106.1</v>
      </c>
      <c r="H39" s="8">
        <v>417</v>
      </c>
      <c r="I39" s="8">
        <v>419.2504918282182</v>
      </c>
      <c r="J39" s="9">
        <v>106.1</v>
      </c>
      <c r="K39" s="23">
        <f>381*1.061</f>
        <v>404.241</v>
      </c>
      <c r="L39" s="23">
        <f>L38*G39/100</f>
        <v>404.241</v>
      </c>
      <c r="M39" s="24">
        <f aca="true" t="shared" si="5" ref="M39:M66">K39-L39</f>
        <v>0</v>
      </c>
      <c r="N39" s="14">
        <f t="shared" si="2"/>
        <v>0</v>
      </c>
      <c r="O39" s="14">
        <f t="shared" si="3"/>
        <v>404.241</v>
      </c>
      <c r="P39" s="15">
        <v>404.241</v>
      </c>
      <c r="Q39" s="29">
        <f t="shared" si="4"/>
        <v>6.099999999999996</v>
      </c>
    </row>
    <row r="40" spans="1:17" ht="15.75">
      <c r="A40" s="22" t="s">
        <v>27</v>
      </c>
      <c r="B40" s="47">
        <v>430.5233325</v>
      </c>
      <c r="C40" s="59">
        <v>6.501649387370405</v>
      </c>
      <c r="D40" s="53" t="s">
        <v>54</v>
      </c>
      <c r="E40" s="9">
        <v>113</v>
      </c>
      <c r="F40" s="9">
        <v>106.5</v>
      </c>
      <c r="G40" s="9">
        <v>106.5</v>
      </c>
      <c r="H40" s="8">
        <v>460</v>
      </c>
      <c r="I40" s="8">
        <v>463.2530240670712</v>
      </c>
      <c r="J40" s="9">
        <v>113</v>
      </c>
      <c r="K40" s="24">
        <f>381*1.13</f>
        <v>430.53</v>
      </c>
      <c r="L40" s="23">
        <f aca="true" t="shared" si="6" ref="L40:L64">L39*G40/100</f>
        <v>430.516665</v>
      </c>
      <c r="M40" s="23">
        <f t="shared" si="5"/>
        <v>0.013334999999983665</v>
      </c>
      <c r="N40" s="14">
        <f t="shared" si="2"/>
        <v>0.003097345132739569</v>
      </c>
      <c r="O40" s="14">
        <f t="shared" si="3"/>
        <v>430.5233325</v>
      </c>
      <c r="P40" s="15">
        <v>430.5233325</v>
      </c>
      <c r="Q40" s="29">
        <f t="shared" si="4"/>
        <v>6.501649387370405</v>
      </c>
    </row>
    <row r="41" spans="1:17" ht="15.75">
      <c r="A41" s="22" t="s">
        <v>28</v>
      </c>
      <c r="B41" s="47">
        <v>447.4909074675</v>
      </c>
      <c r="C41" s="59">
        <v>3.9411510797733627</v>
      </c>
      <c r="D41" s="53" t="s">
        <v>55</v>
      </c>
      <c r="E41" s="9">
        <v>117.5</v>
      </c>
      <c r="F41" s="9">
        <v>103.9</v>
      </c>
      <c r="G41" s="9">
        <v>103.9</v>
      </c>
      <c r="H41" s="8">
        <v>489</v>
      </c>
      <c r="I41" s="8">
        <v>492.16322348947983</v>
      </c>
      <c r="J41" s="9">
        <v>117.5</v>
      </c>
      <c r="K41" s="23">
        <f>381*1.175</f>
        <v>447.675</v>
      </c>
      <c r="L41" s="23">
        <f t="shared" si="6"/>
        <v>447.306814935</v>
      </c>
      <c r="M41" s="23">
        <f t="shared" si="5"/>
        <v>0.36818506500003423</v>
      </c>
      <c r="N41" s="14">
        <f t="shared" si="2"/>
        <v>0.08224382978724169</v>
      </c>
      <c r="O41" s="14">
        <f t="shared" si="3"/>
        <v>447.4909074675</v>
      </c>
      <c r="P41" s="15">
        <v>447.4909074675</v>
      </c>
      <c r="Q41" s="29">
        <f t="shared" si="4"/>
        <v>3.9411510797733627</v>
      </c>
    </row>
    <row r="42" spans="1:17" ht="15.75">
      <c r="A42" s="22" t="s">
        <v>29</v>
      </c>
      <c r="B42" s="47">
        <v>480.83841302756247</v>
      </c>
      <c r="C42" s="59">
        <v>7.452107965452774</v>
      </c>
      <c r="D42" s="53" t="s">
        <v>101</v>
      </c>
      <c r="E42" s="9">
        <v>126.2</v>
      </c>
      <c r="F42" s="9">
        <v>107.5</v>
      </c>
      <c r="G42" s="9">
        <v>107.5</v>
      </c>
      <c r="H42" s="8">
        <v>525</v>
      </c>
      <c r="I42" s="8">
        <v>527.7803520294235</v>
      </c>
      <c r="J42" s="9">
        <v>126.2</v>
      </c>
      <c r="K42" s="23">
        <f>381*1.262</f>
        <v>480.822</v>
      </c>
      <c r="L42" s="23">
        <f t="shared" si="6"/>
        <v>480.85482605512493</v>
      </c>
      <c r="M42" s="23">
        <f t="shared" si="5"/>
        <v>-0.032826055124928644</v>
      </c>
      <c r="N42" s="14">
        <f t="shared" si="2"/>
        <v>-0.006827070126768044</v>
      </c>
      <c r="O42" s="14">
        <f t="shared" si="3"/>
        <v>480.83841302756247</v>
      </c>
      <c r="P42" s="15">
        <v>480.83841302756247</v>
      </c>
      <c r="Q42" s="29">
        <f t="shared" si="4"/>
        <v>7.452107965452774</v>
      </c>
    </row>
    <row r="43" spans="1:17" ht="15.75">
      <c r="A43" s="22" t="s">
        <v>30</v>
      </c>
      <c r="B43" s="47">
        <v>525.4866624391257</v>
      </c>
      <c r="C43" s="59">
        <v>9.285499702579687</v>
      </c>
      <c r="D43" s="53" t="s">
        <v>56</v>
      </c>
      <c r="E43" s="9">
        <v>137.9</v>
      </c>
      <c r="F43" s="9">
        <v>109.3</v>
      </c>
      <c r="G43" s="9">
        <v>109.3</v>
      </c>
      <c r="H43" s="8">
        <v>580</v>
      </c>
      <c r="I43" s="8">
        <v>582.6828202982545</v>
      </c>
      <c r="J43" s="9">
        <v>137.9</v>
      </c>
      <c r="K43" s="23">
        <f>381*1.379</f>
        <v>525.399</v>
      </c>
      <c r="L43" s="23">
        <f t="shared" si="6"/>
        <v>525.5743248782514</v>
      </c>
      <c r="M43" s="23">
        <f t="shared" si="5"/>
        <v>-0.17532487825144472</v>
      </c>
      <c r="N43" s="14">
        <f t="shared" si="2"/>
        <v>-0.03336985381613682</v>
      </c>
      <c r="O43" s="14">
        <f t="shared" si="3"/>
        <v>525.4866624391257</v>
      </c>
      <c r="P43" s="15">
        <v>525.4866624391257</v>
      </c>
      <c r="Q43" s="29">
        <f t="shared" si="4"/>
        <v>9.285499702579687</v>
      </c>
    </row>
    <row r="44" spans="1:17" ht="15.75">
      <c r="A44" s="22" t="s">
        <v>31</v>
      </c>
      <c r="B44" s="47">
        <v>597.493003693286</v>
      </c>
      <c r="C44" s="59">
        <v>13.702791412427493</v>
      </c>
      <c r="D44" s="53" t="s">
        <v>57</v>
      </c>
      <c r="E44" s="9">
        <v>156.8</v>
      </c>
      <c r="F44" s="9">
        <v>113.7</v>
      </c>
      <c r="G44" s="9">
        <v>113.7</v>
      </c>
      <c r="H44" s="8">
        <v>692</v>
      </c>
      <c r="I44" s="8">
        <v>695.200921883055</v>
      </c>
      <c r="J44" s="9">
        <v>156.8</v>
      </c>
      <c r="K44" s="23">
        <f>381*1.568</f>
        <v>597.408</v>
      </c>
      <c r="L44" s="23">
        <f t="shared" si="6"/>
        <v>597.5780073865719</v>
      </c>
      <c r="M44" s="23">
        <f t="shared" si="5"/>
        <v>-0.1700073865719105</v>
      </c>
      <c r="N44" s="14">
        <f t="shared" si="2"/>
        <v>-0.028457500832247056</v>
      </c>
      <c r="O44" s="14">
        <f t="shared" si="3"/>
        <v>597.493003693286</v>
      </c>
      <c r="P44" s="15">
        <v>597.493003693286</v>
      </c>
      <c r="Q44" s="29">
        <f t="shared" si="4"/>
        <v>13.702791412427493</v>
      </c>
    </row>
    <row r="45" spans="1:17" ht="15.75">
      <c r="A45" s="22" t="s">
        <v>32</v>
      </c>
      <c r="B45" s="47">
        <v>668.672395132787</v>
      </c>
      <c r="C45" s="59">
        <v>11.913008353155512</v>
      </c>
      <c r="D45" s="53" t="s">
        <v>58</v>
      </c>
      <c r="E45" s="9">
        <v>175.5</v>
      </c>
      <c r="F45" s="9">
        <v>111.9</v>
      </c>
      <c r="G45" s="9">
        <v>111.9</v>
      </c>
      <c r="H45" s="8">
        <v>853</v>
      </c>
      <c r="I45" s="8">
        <v>857.8204997538136</v>
      </c>
      <c r="J45" s="9">
        <v>175.5</v>
      </c>
      <c r="K45" s="23">
        <f>381*1.755</f>
        <v>668.655</v>
      </c>
      <c r="L45" s="23">
        <f t="shared" si="6"/>
        <v>668.689790265574</v>
      </c>
      <c r="M45" s="23">
        <f t="shared" si="5"/>
        <v>-0.034790265573974466</v>
      </c>
      <c r="N45" s="14">
        <f t="shared" si="2"/>
        <v>-0.0052030218235075585</v>
      </c>
      <c r="O45" s="14">
        <f t="shared" si="3"/>
        <v>668.672395132787</v>
      </c>
      <c r="P45" s="15">
        <v>668.672395132787</v>
      </c>
      <c r="Q45" s="29">
        <f t="shared" si="4"/>
        <v>11.913008353155512</v>
      </c>
    </row>
    <row r="46" spans="1:17" ht="15.75">
      <c r="A46" s="22" t="s">
        <v>33</v>
      </c>
      <c r="B46" s="47">
        <v>716.9387275823476</v>
      </c>
      <c r="C46" s="59">
        <v>7.218233143896388</v>
      </c>
      <c r="D46" s="53" t="s">
        <v>59</v>
      </c>
      <c r="E46" s="9">
        <v>188.2</v>
      </c>
      <c r="F46" s="9">
        <v>107.2</v>
      </c>
      <c r="G46" s="9">
        <v>107.2</v>
      </c>
      <c r="H46" s="8">
        <v>956</v>
      </c>
      <c r="I46" s="8">
        <v>963.1866830795882</v>
      </c>
      <c r="J46" s="9">
        <v>188.2</v>
      </c>
      <c r="K46" s="23">
        <f>381*1.882</f>
        <v>717.0419999999999</v>
      </c>
      <c r="L46" s="23">
        <f t="shared" si="6"/>
        <v>716.8354551646953</v>
      </c>
      <c r="M46" s="23">
        <f t="shared" si="5"/>
        <v>0.2065448353046122</v>
      </c>
      <c r="N46" s="14">
        <f t="shared" si="2"/>
        <v>0.02880512373119179</v>
      </c>
      <c r="O46" s="14">
        <f t="shared" si="3"/>
        <v>716.9387275823476</v>
      </c>
      <c r="P46" s="15">
        <v>716.9387275823476</v>
      </c>
      <c r="Q46" s="29">
        <f t="shared" si="4"/>
        <v>7.218233143896388</v>
      </c>
    </row>
    <row r="47" spans="1:17" ht="15.75">
      <c r="A47" s="22" t="s">
        <v>34</v>
      </c>
      <c r="B47" s="47">
        <v>787.1156648854177</v>
      </c>
      <c r="C47" s="59">
        <v>9.788414909558579</v>
      </c>
      <c r="D47" s="53" t="s">
        <v>60</v>
      </c>
      <c r="E47" s="9">
        <v>206.6</v>
      </c>
      <c r="F47" s="9">
        <v>109.8</v>
      </c>
      <c r="G47" s="9">
        <v>109.8</v>
      </c>
      <c r="H47" s="8">
        <v>1104</v>
      </c>
      <c r="I47" s="8">
        <v>1112.3773223436542</v>
      </c>
      <c r="J47" s="9">
        <v>206.6</v>
      </c>
      <c r="K47" s="23">
        <f>381*2.066</f>
        <v>787.146</v>
      </c>
      <c r="L47" s="23">
        <f t="shared" si="6"/>
        <v>787.0853297708354</v>
      </c>
      <c r="M47" s="23">
        <f t="shared" si="5"/>
        <v>0.06067022916454334</v>
      </c>
      <c r="N47" s="14">
        <f t="shared" si="2"/>
        <v>0.007707620843470379</v>
      </c>
      <c r="O47" s="14">
        <f t="shared" si="3"/>
        <v>787.1156648854177</v>
      </c>
      <c r="P47" s="15">
        <v>787.1156648854177</v>
      </c>
      <c r="Q47" s="29">
        <f t="shared" si="4"/>
        <v>9.788414909558579</v>
      </c>
    </row>
    <row r="48" spans="1:17" ht="15.75">
      <c r="A48" s="22" t="s">
        <v>35</v>
      </c>
      <c r="B48" s="47">
        <v>862.0307180495324</v>
      </c>
      <c r="C48" s="59">
        <v>9.517667670229928</v>
      </c>
      <c r="D48" s="53" t="s">
        <v>61</v>
      </c>
      <c r="E48" s="9">
        <v>226.3</v>
      </c>
      <c r="F48" s="9">
        <v>109.5</v>
      </c>
      <c r="G48" s="9">
        <v>109.5</v>
      </c>
      <c r="H48" s="8">
        <v>1355</v>
      </c>
      <c r="I48" s="8">
        <v>1365.5059330352046</v>
      </c>
      <c r="J48" s="9">
        <v>226.3</v>
      </c>
      <c r="K48" s="23">
        <f>381*2.263</f>
        <v>862.203</v>
      </c>
      <c r="L48" s="23">
        <f t="shared" si="6"/>
        <v>861.8584360990648</v>
      </c>
      <c r="M48" s="23">
        <f t="shared" si="5"/>
        <v>0.3445639009352135</v>
      </c>
      <c r="N48" s="14">
        <f t="shared" si="2"/>
        <v>0.03996319903029954</v>
      </c>
      <c r="O48" s="14">
        <f t="shared" si="3"/>
        <v>862.0307180495324</v>
      </c>
      <c r="P48" s="15">
        <v>862.0307180495324</v>
      </c>
      <c r="Q48" s="29">
        <f t="shared" si="4"/>
        <v>9.517667670229928</v>
      </c>
    </row>
    <row r="49" spans="1:17" ht="15.75">
      <c r="A49" s="22" t="s">
        <v>36</v>
      </c>
      <c r="B49" s="47">
        <v>883.4719485007706</v>
      </c>
      <c r="C49" s="59">
        <v>2.487293086231549</v>
      </c>
      <c r="D49" s="53" t="s">
        <v>62</v>
      </c>
      <c r="E49" s="9">
        <v>231.9</v>
      </c>
      <c r="F49" s="9">
        <v>102.5</v>
      </c>
      <c r="G49" s="9">
        <v>102.5</v>
      </c>
      <c r="H49" s="8">
        <v>1512</v>
      </c>
      <c r="I49" s="8">
        <v>1519.0022891187368</v>
      </c>
      <c r="J49" s="9">
        <v>231.9</v>
      </c>
      <c r="K49" s="23">
        <f>381*2.319</f>
        <v>883.539</v>
      </c>
      <c r="L49" s="23">
        <f t="shared" si="6"/>
        <v>883.4048970015414</v>
      </c>
      <c r="M49" s="23">
        <f t="shared" si="5"/>
        <v>0.13410299845861573</v>
      </c>
      <c r="N49" s="14">
        <f t="shared" si="2"/>
        <v>0.015177937641532035</v>
      </c>
      <c r="O49" s="14">
        <f t="shared" si="3"/>
        <v>883.4719485007706</v>
      </c>
      <c r="P49" s="15">
        <v>883.4719485007706</v>
      </c>
      <c r="Q49" s="29">
        <f t="shared" si="4"/>
        <v>2.487293086231549</v>
      </c>
    </row>
    <row r="50" spans="1:17" ht="15.75">
      <c r="A50" s="22" t="s">
        <v>37</v>
      </c>
      <c r="B50" s="47">
        <v>903.9181048162884</v>
      </c>
      <c r="C50" s="59">
        <v>2.3142960396438608</v>
      </c>
      <c r="D50" s="53" t="s">
        <v>63</v>
      </c>
      <c r="E50" s="9">
        <v>237.3</v>
      </c>
      <c r="F50" s="9">
        <v>102.3</v>
      </c>
      <c r="G50" s="9">
        <v>102.3</v>
      </c>
      <c r="H50" s="8">
        <v>1634</v>
      </c>
      <c r="I50" s="8">
        <v>1644.4667743818973</v>
      </c>
      <c r="J50" s="9">
        <v>237.3</v>
      </c>
      <c r="K50" s="23">
        <f>381*2.373</f>
        <v>904.113</v>
      </c>
      <c r="L50" s="23">
        <f t="shared" si="6"/>
        <v>903.7232096325768</v>
      </c>
      <c r="M50" s="23">
        <f t="shared" si="5"/>
        <v>0.3897903674233021</v>
      </c>
      <c r="N50" s="14">
        <f t="shared" si="2"/>
        <v>0.04311301434923533</v>
      </c>
      <c r="O50" s="14">
        <f t="shared" si="3"/>
        <v>903.9181048162884</v>
      </c>
      <c r="P50" s="15">
        <v>903.9181048162884</v>
      </c>
      <c r="Q50" s="29">
        <f t="shared" si="4"/>
        <v>2.3142960396438608</v>
      </c>
    </row>
    <row r="51" spans="1:17" ht="15.75">
      <c r="A51" s="22" t="s">
        <v>38</v>
      </c>
      <c r="B51" s="47">
        <v>973.5729483871426</v>
      </c>
      <c r="C51" s="59">
        <v>7.705879902141217</v>
      </c>
      <c r="D51" s="53" t="s">
        <v>64</v>
      </c>
      <c r="E51" s="9">
        <v>255.6</v>
      </c>
      <c r="F51" s="9">
        <v>107.7</v>
      </c>
      <c r="G51" s="9">
        <v>107.7</v>
      </c>
      <c r="H51" s="8">
        <v>1879</v>
      </c>
      <c r="I51" s="8">
        <v>1892.7596422242443</v>
      </c>
      <c r="J51" s="9">
        <v>255.6</v>
      </c>
      <c r="K51" s="23">
        <f>381*2.556</f>
        <v>973.836</v>
      </c>
      <c r="L51" s="23">
        <f t="shared" si="6"/>
        <v>973.3098967742851</v>
      </c>
      <c r="M51" s="23">
        <f t="shared" si="5"/>
        <v>0.5261032257149054</v>
      </c>
      <c r="N51" s="14">
        <f t="shared" si="2"/>
        <v>0.05402380130893759</v>
      </c>
      <c r="O51" s="14">
        <f t="shared" si="3"/>
        <v>973.5729483871426</v>
      </c>
      <c r="P51" s="15">
        <v>973.5729483871426</v>
      </c>
      <c r="Q51" s="29">
        <f t="shared" si="4"/>
        <v>7.705879902141217</v>
      </c>
    </row>
    <row r="52" spans="1:17" ht="15.75">
      <c r="A52" s="68" t="s">
        <v>39</v>
      </c>
      <c r="B52" s="47">
        <v>1098.3487817806968</v>
      </c>
      <c r="C52" s="59">
        <v>12.816279827850858</v>
      </c>
      <c r="D52" s="53" t="s">
        <v>65</v>
      </c>
      <c r="E52" s="9">
        <v>288.4</v>
      </c>
      <c r="F52" s="9">
        <v>112.8</v>
      </c>
      <c r="G52" s="9">
        <v>112.8</v>
      </c>
      <c r="H52" s="8">
        <v>2287</v>
      </c>
      <c r="I52" s="8">
        <v>2311.0875345392074</v>
      </c>
      <c r="J52" s="9">
        <v>288.4</v>
      </c>
      <c r="K52" s="23">
        <f>381*2.884</f>
        <v>1098.8039999999999</v>
      </c>
      <c r="L52" s="23">
        <f t="shared" si="6"/>
        <v>1097.8935635613934</v>
      </c>
      <c r="M52" s="23">
        <f t="shared" si="5"/>
        <v>0.910436438606439</v>
      </c>
      <c r="N52" s="14">
        <f t="shared" si="2"/>
        <v>0.08285703716098951</v>
      </c>
      <c r="O52" s="14">
        <f t="shared" si="3"/>
        <v>1098.3487817806968</v>
      </c>
      <c r="P52" s="15">
        <v>1098.3487817806968</v>
      </c>
      <c r="Q52" s="29">
        <f t="shared" si="4"/>
        <v>12.816279827850858</v>
      </c>
    </row>
    <row r="53" spans="1:17" ht="15.75">
      <c r="A53" s="68" t="s">
        <v>40</v>
      </c>
      <c r="B53" s="47">
        <v>1237.5975230668453</v>
      </c>
      <c r="C53" s="59">
        <v>12.678007532397098</v>
      </c>
      <c r="D53" s="53" t="s">
        <v>66</v>
      </c>
      <c r="E53" s="9">
        <v>324.9</v>
      </c>
      <c r="F53" s="9">
        <v>112.2</v>
      </c>
      <c r="G53" s="9">
        <v>112.7</v>
      </c>
      <c r="H53" s="8">
        <v>2939</v>
      </c>
      <c r="I53" s="8">
        <v>2998.364338833224</v>
      </c>
      <c r="J53" s="9">
        <v>324.9</v>
      </c>
      <c r="K53" s="23">
        <f>381*3.249</f>
        <v>1237.8690000000001</v>
      </c>
      <c r="L53" s="23">
        <f t="shared" si="6"/>
        <v>1237.3260461336904</v>
      </c>
      <c r="M53" s="23">
        <f t="shared" si="5"/>
        <v>0.5429538663097446</v>
      </c>
      <c r="N53" s="14">
        <f t="shared" si="2"/>
        <v>0.04386198105855665</v>
      </c>
      <c r="O53" s="14">
        <f t="shared" si="3"/>
        <v>1237.5975230668453</v>
      </c>
      <c r="P53" s="15">
        <v>1237.5975230668453</v>
      </c>
      <c r="Q53" s="29">
        <f t="shared" si="4"/>
        <v>12.678007532397098</v>
      </c>
    </row>
    <row r="54" spans="1:17" ht="15.75">
      <c r="A54" s="68" t="s">
        <v>41</v>
      </c>
      <c r="B54" s="47">
        <v>1383.751759788733</v>
      </c>
      <c r="C54" s="59">
        <v>11.80951270488229</v>
      </c>
      <c r="D54" s="53" t="s">
        <v>67</v>
      </c>
      <c r="E54" s="9">
        <v>363.3</v>
      </c>
      <c r="F54" s="9">
        <v>111.4</v>
      </c>
      <c r="G54" s="9">
        <v>111.8</v>
      </c>
      <c r="H54" s="8">
        <v>3923</v>
      </c>
      <c r="I54" s="8">
        <v>4044.004115058644</v>
      </c>
      <c r="J54" s="9">
        <v>363.3</v>
      </c>
      <c r="K54" s="23">
        <f>381*3.633</f>
        <v>1384.173</v>
      </c>
      <c r="L54" s="23">
        <f t="shared" si="6"/>
        <v>1383.3305195774658</v>
      </c>
      <c r="M54" s="23">
        <f t="shared" si="5"/>
        <v>0.8424804225342086</v>
      </c>
      <c r="N54" s="14">
        <f t="shared" si="2"/>
        <v>0.06086525474302769</v>
      </c>
      <c r="O54" s="14">
        <f t="shared" si="3"/>
        <v>1383.751759788733</v>
      </c>
      <c r="P54" s="15">
        <v>1383.751759788733</v>
      </c>
      <c r="Q54" s="29">
        <f t="shared" si="4"/>
        <v>11.80951270488229</v>
      </c>
    </row>
    <row r="55" spans="1:17" ht="15.75">
      <c r="A55" s="68" t="s">
        <v>42</v>
      </c>
      <c r="B55" s="47">
        <v>1518.0897899882402</v>
      </c>
      <c r="C55" s="59">
        <v>9.708246385176606</v>
      </c>
      <c r="D55" s="53" t="s">
        <v>68</v>
      </c>
      <c r="E55" s="9">
        <v>398.6</v>
      </c>
      <c r="F55" s="9">
        <v>109.3</v>
      </c>
      <c r="G55" s="9">
        <v>109.7</v>
      </c>
      <c r="H55" s="8">
        <v>4854</v>
      </c>
      <c r="I55" s="8">
        <v>5045.729918648418</v>
      </c>
      <c r="J55" s="9">
        <v>398.6</v>
      </c>
      <c r="K55" s="23">
        <f>381*3.986</f>
        <v>1518.6660000000002</v>
      </c>
      <c r="L55" s="23">
        <f t="shared" si="6"/>
        <v>1517.51357997648</v>
      </c>
      <c r="M55" s="23">
        <f t="shared" si="5"/>
        <v>1.1524200235201079</v>
      </c>
      <c r="N55" s="14">
        <f t="shared" si="2"/>
        <v>0.07588370474614614</v>
      </c>
      <c r="O55" s="14">
        <f t="shared" si="3"/>
        <v>1518.0897899882402</v>
      </c>
      <c r="P55" s="15">
        <v>1518.0897899882402</v>
      </c>
      <c r="Q55" s="29">
        <f t="shared" si="4"/>
        <v>9.708246385176606</v>
      </c>
    </row>
    <row r="56" spans="1:17" ht="15.75">
      <c r="A56" s="68" t="s">
        <v>43</v>
      </c>
      <c r="B56" s="47">
        <v>1652.8656442971933</v>
      </c>
      <c r="C56" s="59">
        <v>8.877989641837793</v>
      </c>
      <c r="D56" s="53" t="s">
        <v>69</v>
      </c>
      <c r="E56" s="9">
        <v>433.9</v>
      </c>
      <c r="F56" s="9">
        <v>108.4</v>
      </c>
      <c r="G56" s="9">
        <v>108.9</v>
      </c>
      <c r="H56" s="8">
        <v>5576</v>
      </c>
      <c r="I56" s="8">
        <v>5845.886547081198</v>
      </c>
      <c r="J56" s="9">
        <v>433.9</v>
      </c>
      <c r="K56" s="23">
        <f>381*4.339</f>
        <v>1653.159</v>
      </c>
      <c r="L56" s="23">
        <f t="shared" si="6"/>
        <v>1652.5722885943867</v>
      </c>
      <c r="M56" s="23">
        <f t="shared" si="5"/>
        <v>0.5867114056134142</v>
      </c>
      <c r="N56" s="14">
        <f t="shared" si="2"/>
        <v>0.03549031917761172</v>
      </c>
      <c r="O56" s="14">
        <f t="shared" si="3"/>
        <v>1652.8656442971933</v>
      </c>
      <c r="P56" s="15">
        <v>1652.8656442971933</v>
      </c>
      <c r="Q56" s="29">
        <f t="shared" si="4"/>
        <v>8.877989641837793</v>
      </c>
    </row>
    <row r="57" spans="1:17" ht="15.75">
      <c r="A57" s="68" t="s">
        <v>44</v>
      </c>
      <c r="B57" s="47">
        <v>1788.2486081295633</v>
      </c>
      <c r="C57" s="59">
        <v>8.190802700720152</v>
      </c>
      <c r="D57" s="53" t="s">
        <v>70</v>
      </c>
      <c r="E57" s="9">
        <v>469.4</v>
      </c>
      <c r="F57" s="9">
        <v>107.7</v>
      </c>
      <c r="G57" s="9">
        <v>108.2</v>
      </c>
      <c r="H57" s="8">
        <v>6054</v>
      </c>
      <c r="I57" s="8">
        <v>6420.1804765149645</v>
      </c>
      <c r="J57" s="9">
        <v>469.4</v>
      </c>
      <c r="K57" s="23">
        <f>381*4.694</f>
        <v>1788.414</v>
      </c>
      <c r="L57" s="23">
        <f t="shared" si="6"/>
        <v>1788.0832162591264</v>
      </c>
      <c r="M57" s="23">
        <f t="shared" si="5"/>
        <v>0.330783740873585</v>
      </c>
      <c r="N57" s="14">
        <f t="shared" si="2"/>
        <v>0.01849592660723887</v>
      </c>
      <c r="O57" s="14">
        <f t="shared" si="3"/>
        <v>1788.2486081295633</v>
      </c>
      <c r="P57" s="15">
        <v>1788.2486081295633</v>
      </c>
      <c r="Q57" s="29">
        <f t="shared" si="4"/>
        <v>8.190802700720152</v>
      </c>
    </row>
    <row r="58" spans="1:17" ht="15.75">
      <c r="A58" s="68" t="s">
        <v>45</v>
      </c>
      <c r="B58" s="47">
        <v>1910.0034374823736</v>
      </c>
      <c r="C58" s="59">
        <v>6.8086075280193254</v>
      </c>
      <c r="D58" s="53" t="s">
        <v>71</v>
      </c>
      <c r="E58" s="9">
        <v>501.4</v>
      </c>
      <c r="F58" s="9">
        <v>106.8</v>
      </c>
      <c r="G58" s="9">
        <v>106.8</v>
      </c>
      <c r="H58" s="8">
        <v>6308</v>
      </c>
      <c r="I58" s="8">
        <v>6796.0303694575005</v>
      </c>
      <c r="J58" s="9">
        <v>501.4</v>
      </c>
      <c r="K58" s="23">
        <f>381*5.014</f>
        <v>1910.334</v>
      </c>
      <c r="L58" s="23">
        <f t="shared" si="6"/>
        <v>1909.6728749647468</v>
      </c>
      <c r="M58" s="23">
        <f t="shared" si="5"/>
        <v>0.6611250352532352</v>
      </c>
      <c r="N58" s="14">
        <f t="shared" si="2"/>
        <v>0.03460782435182723</v>
      </c>
      <c r="O58" s="14">
        <f t="shared" si="3"/>
        <v>1910.0034374823736</v>
      </c>
      <c r="P58" s="15">
        <v>1910.0034374823736</v>
      </c>
      <c r="Q58" s="29">
        <f t="shared" si="4"/>
        <v>6.8086075280193254</v>
      </c>
    </row>
    <row r="59" spans="1:17" ht="15.75">
      <c r="A59" s="68" t="s">
        <v>46</v>
      </c>
      <c r="B59" s="47">
        <v>2037.7949787936925</v>
      </c>
      <c r="C59" s="59">
        <v>6.690644571811053</v>
      </c>
      <c r="D59" s="53" t="s">
        <v>72</v>
      </c>
      <c r="E59" s="9">
        <v>534.9</v>
      </c>
      <c r="F59" s="9">
        <v>106.2</v>
      </c>
      <c r="G59" s="9">
        <v>106.7</v>
      </c>
      <c r="H59" s="8">
        <v>6551</v>
      </c>
      <c r="I59" s="8">
        <v>7158.501578618343</v>
      </c>
      <c r="J59" s="9">
        <v>534.9</v>
      </c>
      <c r="K59" s="23">
        <f>381*5.349</f>
        <v>2037.969</v>
      </c>
      <c r="L59" s="23">
        <f t="shared" si="6"/>
        <v>2037.620957587385</v>
      </c>
      <c r="M59" s="23">
        <f t="shared" si="5"/>
        <v>0.3480424126150865</v>
      </c>
      <c r="N59" s="14">
        <f t="shared" si="2"/>
        <v>0.01707790514061237</v>
      </c>
      <c r="O59" s="14">
        <f t="shared" si="3"/>
        <v>2037.7949787936925</v>
      </c>
      <c r="P59" s="15">
        <v>2037.7949787936925</v>
      </c>
      <c r="Q59" s="29">
        <f t="shared" si="4"/>
        <v>6.690644571811053</v>
      </c>
    </row>
    <row r="60" spans="1:17" ht="15.75">
      <c r="A60" s="68" t="s">
        <v>47</v>
      </c>
      <c r="B60" s="47">
        <v>2192.5675751820127</v>
      </c>
      <c r="C60" s="59">
        <v>7.59510146992022</v>
      </c>
      <c r="D60" s="53" t="s">
        <v>73</v>
      </c>
      <c r="E60" s="9">
        <v>575.5</v>
      </c>
      <c r="F60" s="9">
        <v>107.1</v>
      </c>
      <c r="G60" s="9">
        <v>107.6</v>
      </c>
      <c r="H60" s="8">
        <v>7086</v>
      </c>
      <c r="I60" s="8">
        <v>7857.6760933181695</v>
      </c>
      <c r="J60" s="9">
        <v>575.5</v>
      </c>
      <c r="K60" s="23">
        <f>381*5.755</f>
        <v>2192.6549999999997</v>
      </c>
      <c r="L60" s="23">
        <f t="shared" si="6"/>
        <v>2192.480150364026</v>
      </c>
      <c r="M60" s="23">
        <f t="shared" si="5"/>
        <v>0.1748496359737146</v>
      </c>
      <c r="N60" s="14">
        <f t="shared" si="2"/>
        <v>0.007974334127973376</v>
      </c>
      <c r="O60" s="14">
        <f t="shared" si="3"/>
        <v>2192.5675751820127</v>
      </c>
      <c r="P60" s="15">
        <v>2192.5675751820127</v>
      </c>
      <c r="Q60" s="29">
        <f t="shared" si="4"/>
        <v>7.59510146992022</v>
      </c>
    </row>
    <row r="61" spans="1:17" ht="15.75">
      <c r="A61" s="68" t="s">
        <v>48</v>
      </c>
      <c r="B61" s="47">
        <v>2357.0815808206644</v>
      </c>
      <c r="C61" s="59">
        <v>7.503258166398581</v>
      </c>
      <c r="D61" s="53" t="s">
        <v>74</v>
      </c>
      <c r="E61" s="9">
        <v>618.7</v>
      </c>
      <c r="F61" s="9">
        <v>106.7</v>
      </c>
      <c r="G61" s="9">
        <v>107.5</v>
      </c>
      <c r="H61" s="8">
        <v>7651</v>
      </c>
      <c r="I61" s="8">
        <v>8621.706219928388</v>
      </c>
      <c r="J61" s="9">
        <v>618.7</v>
      </c>
      <c r="K61" s="23">
        <f>381*6.187</f>
        <v>2357.2470000000003</v>
      </c>
      <c r="L61" s="23">
        <f t="shared" si="6"/>
        <v>2356.916161641328</v>
      </c>
      <c r="M61" s="23">
        <f t="shared" si="5"/>
        <v>0.3308383586722812</v>
      </c>
      <c r="N61" s="14">
        <f t="shared" si="2"/>
        <v>0.014034946642090589</v>
      </c>
      <c r="O61" s="14">
        <f t="shared" si="3"/>
        <v>2357.0815808206644</v>
      </c>
      <c r="P61" s="15">
        <v>2357.0815808206644</v>
      </c>
      <c r="Q61" s="29">
        <f t="shared" si="4"/>
        <v>7.503258166398581</v>
      </c>
    </row>
    <row r="62" spans="1:17" ht="15.75">
      <c r="A62" s="68">
        <v>2002</v>
      </c>
      <c r="B62" s="47">
        <v>2554.5605596095997</v>
      </c>
      <c r="C62" s="59">
        <v>8.378113867411376</v>
      </c>
      <c r="D62" s="53" t="s">
        <v>75</v>
      </c>
      <c r="E62" s="9">
        <v>670.4</v>
      </c>
      <c r="F62" s="9">
        <v>107.6</v>
      </c>
      <c r="G62" s="9">
        <v>108.4</v>
      </c>
      <c r="H62" s="8">
        <v>8214</v>
      </c>
      <c r="I62" s="8">
        <v>9398.054457532979</v>
      </c>
      <c r="J62" s="9">
        <v>670.4</v>
      </c>
      <c r="K62" s="23">
        <f>381*6.704</f>
        <v>2554.2239999999997</v>
      </c>
      <c r="L62" s="23">
        <f t="shared" si="6"/>
        <v>2554.8971192192</v>
      </c>
      <c r="M62" s="23">
        <f t="shared" si="5"/>
        <v>-0.673119219200089</v>
      </c>
      <c r="N62" s="14">
        <f t="shared" si="2"/>
        <v>-0.026353178859805915</v>
      </c>
      <c r="O62" s="14">
        <f t="shared" si="3"/>
        <v>2554.5605596095997</v>
      </c>
      <c r="P62" s="15">
        <v>2554.5605596095997</v>
      </c>
      <c r="Q62" s="29">
        <f t="shared" si="4"/>
        <v>8.378113867411376</v>
      </c>
    </row>
    <row r="63" spans="1:17" ht="15.75">
      <c r="A63" s="68">
        <v>2003</v>
      </c>
      <c r="B63" s="47">
        <v>2792.806775653293</v>
      </c>
      <c r="C63" s="59">
        <v>9.326309182511725</v>
      </c>
      <c r="D63" s="53" t="s">
        <v>76</v>
      </c>
      <c r="E63" s="9">
        <v>733.1</v>
      </c>
      <c r="F63" s="9">
        <v>108.8</v>
      </c>
      <c r="G63" s="9">
        <v>109.3</v>
      </c>
      <c r="H63" s="8">
        <v>9111</v>
      </c>
      <c r="I63" s="8">
        <v>10541.97113858719</v>
      </c>
      <c r="J63" s="9">
        <v>733.1</v>
      </c>
      <c r="K63" s="23">
        <f>381*7.331</f>
        <v>2793.1110000000003</v>
      </c>
      <c r="L63" s="23">
        <f t="shared" si="6"/>
        <v>2792.5025513065852</v>
      </c>
      <c r="M63" s="23">
        <f t="shared" si="5"/>
        <v>0.6084486934150846</v>
      </c>
      <c r="N63" s="14">
        <f t="shared" si="2"/>
        <v>0.02178390666948376</v>
      </c>
      <c r="O63" s="14">
        <f t="shared" si="3"/>
        <v>2792.806775653293</v>
      </c>
      <c r="P63" s="15">
        <v>2792.806775653293</v>
      </c>
      <c r="Q63" s="29">
        <f t="shared" si="4"/>
        <v>9.326309182511725</v>
      </c>
    </row>
    <row r="64" spans="1:17" ht="15.75">
      <c r="A64" s="22" t="s">
        <v>51</v>
      </c>
      <c r="B64" s="47">
        <v>3055.689895564702</v>
      </c>
      <c r="C64" s="59">
        <v>9.412864584944861</v>
      </c>
      <c r="D64" s="53" t="s">
        <v>77</v>
      </c>
      <c r="E64" s="9">
        <v>802.2</v>
      </c>
      <c r="F64" s="9">
        <v>108.8</v>
      </c>
      <c r="G64" s="9">
        <v>109.4</v>
      </c>
      <c r="H64" s="8">
        <v>10561</v>
      </c>
      <c r="I64" s="8">
        <v>12335.577641524575</v>
      </c>
      <c r="J64" s="9">
        <v>802.2</v>
      </c>
      <c r="K64" s="23">
        <f>381*8.022</f>
        <v>3056.382</v>
      </c>
      <c r="L64" s="23">
        <f t="shared" si="6"/>
        <v>3054.997791129404</v>
      </c>
      <c r="M64" s="23">
        <f t="shared" si="5"/>
        <v>1.3842088705960123</v>
      </c>
      <c r="N64" s="14">
        <f t="shared" si="2"/>
        <v>0.045289131744527096</v>
      </c>
      <c r="O64" s="14">
        <f t="shared" si="3"/>
        <v>3055.689895564702</v>
      </c>
      <c r="P64" s="15">
        <v>3055.689895564702</v>
      </c>
      <c r="Q64" s="29">
        <f t="shared" si="4"/>
        <v>9.412864584944861</v>
      </c>
    </row>
    <row r="65" spans="1:17" ht="15.75">
      <c r="A65" s="22" t="s">
        <v>52</v>
      </c>
      <c r="B65" s="47">
        <v>3352</v>
      </c>
      <c r="C65" s="59">
        <v>9.7</v>
      </c>
      <c r="D65" s="51"/>
      <c r="E65" s="9">
        <v>880.7</v>
      </c>
      <c r="F65" s="9"/>
      <c r="G65" s="9">
        <v>109.8</v>
      </c>
      <c r="H65" s="9"/>
      <c r="I65" s="8">
        <v>14103</v>
      </c>
      <c r="J65" s="9">
        <v>878.9</v>
      </c>
      <c r="K65" s="23">
        <f>381*8.789</f>
        <v>3348.609</v>
      </c>
      <c r="L65" s="23">
        <f>L64*G65/100</f>
        <v>3354.387574660085</v>
      </c>
      <c r="M65" s="23">
        <f t="shared" si="5"/>
        <v>-5.778574660085269</v>
      </c>
      <c r="N65" s="14">
        <f t="shared" si="2"/>
        <v>-0.17256641967113118</v>
      </c>
      <c r="O65" s="14">
        <f t="shared" si="3"/>
        <v>3351.4982873300423</v>
      </c>
      <c r="P65" s="15">
        <v>3352</v>
      </c>
      <c r="Q65" s="29">
        <f>(P65-P64)/P64*100</f>
        <v>9.696995263340975</v>
      </c>
    </row>
    <row r="66" spans="1:17" ht="15.75">
      <c r="A66" s="22" t="s">
        <v>211</v>
      </c>
      <c r="B66" s="47">
        <v>3707</v>
      </c>
      <c r="C66" s="67">
        <v>10.59</v>
      </c>
      <c r="D66" s="9"/>
      <c r="E66" s="9">
        <v>972.9</v>
      </c>
      <c r="F66" s="9"/>
      <c r="G66" s="9">
        <v>110.5</v>
      </c>
      <c r="H66" s="9"/>
      <c r="I66" s="8">
        <v>16084</v>
      </c>
      <c r="J66" s="9">
        <f>E66</f>
        <v>972.9</v>
      </c>
      <c r="K66" s="23">
        <f>J66*3.81</f>
        <v>3706.749</v>
      </c>
      <c r="L66" s="23">
        <f>L65*G66/100</f>
        <v>3706.598269999394</v>
      </c>
      <c r="M66" s="23">
        <f t="shared" si="5"/>
        <v>0.1507300006060177</v>
      </c>
      <c r="N66" s="14">
        <f t="shared" si="2"/>
        <v>0.004066366527812316</v>
      </c>
      <c r="O66" s="14">
        <f t="shared" si="3"/>
        <v>3706.673634999697</v>
      </c>
      <c r="P66" s="15">
        <v>3707</v>
      </c>
      <c r="Q66" s="29">
        <f>(P66-P65)/P65*100</f>
        <v>10.590692124105013</v>
      </c>
    </row>
    <row r="67" spans="1:17" ht="15.75">
      <c r="A67" s="35"/>
      <c r="B67" s="35"/>
      <c r="C67" s="35"/>
      <c r="D67" s="36"/>
      <c r="E67" s="36"/>
      <c r="F67" s="36"/>
      <c r="G67" s="36"/>
      <c r="H67" s="36"/>
      <c r="I67" s="37"/>
      <c r="J67" s="36"/>
      <c r="K67" s="38"/>
      <c r="L67" s="38"/>
      <c r="M67" s="38"/>
      <c r="N67" s="39"/>
      <c r="O67" s="39"/>
      <c r="P67" s="40"/>
      <c r="Q67" s="41"/>
    </row>
    <row r="68" spans="1:8" ht="15">
      <c r="A68" s="27" t="s">
        <v>137</v>
      </c>
      <c r="B68" s="27"/>
      <c r="C68" s="27"/>
      <c r="H68" s="36"/>
    </row>
    <row r="69" spans="1:3" ht="9.75" customHeight="1">
      <c r="A69" s="27"/>
      <c r="B69" s="27"/>
      <c r="C69" s="27"/>
    </row>
    <row r="70" spans="1:3" ht="15">
      <c r="A70" s="27" t="s">
        <v>104</v>
      </c>
      <c r="B70" s="27"/>
      <c r="C70" s="27"/>
    </row>
    <row r="71" ht="15">
      <c r="A71" s="6" t="s">
        <v>103</v>
      </c>
    </row>
    <row r="72" ht="15">
      <c r="A72" s="6" t="s">
        <v>212</v>
      </c>
    </row>
    <row r="73" ht="9.75" customHeight="1"/>
    <row r="74" spans="1:3" ht="15">
      <c r="A74" s="27" t="s">
        <v>135</v>
      </c>
      <c r="B74" s="27"/>
      <c r="C74" s="27"/>
    </row>
    <row r="75" spans="1:3" ht="15">
      <c r="A75" s="27" t="s">
        <v>229</v>
      </c>
      <c r="B75" s="27"/>
      <c r="C75" s="27"/>
    </row>
    <row r="76" spans="1:3" ht="15">
      <c r="A76" s="27" t="s">
        <v>131</v>
      </c>
      <c r="B76" s="27"/>
      <c r="C76" s="27"/>
    </row>
    <row r="77" spans="1:3" ht="15">
      <c r="A77" s="27" t="s">
        <v>222</v>
      </c>
      <c r="B77" s="27"/>
      <c r="C77" s="27"/>
    </row>
    <row r="78" spans="1:3" ht="15">
      <c r="A78" s="27" t="s">
        <v>223</v>
      </c>
      <c r="B78" s="27"/>
      <c r="C78" s="27"/>
    </row>
    <row r="79" spans="1:3" ht="15">
      <c r="A79" s="27" t="s">
        <v>224</v>
      </c>
      <c r="B79" s="27"/>
      <c r="C79" s="27"/>
    </row>
    <row r="80" spans="1:3" ht="15">
      <c r="A80" s="27" t="s">
        <v>176</v>
      </c>
      <c r="B80" s="27"/>
      <c r="C80" s="27"/>
    </row>
    <row r="81" spans="1:3" ht="15">
      <c r="A81" s="27" t="s">
        <v>177</v>
      </c>
      <c r="B81" s="27"/>
      <c r="C81" s="27"/>
    </row>
    <row r="82" spans="1:3" ht="15">
      <c r="A82" s="27" t="s">
        <v>146</v>
      </c>
      <c r="B82" s="27"/>
      <c r="C82" s="27"/>
    </row>
    <row r="83" spans="1:3" ht="15">
      <c r="A83" s="27" t="s">
        <v>132</v>
      </c>
      <c r="B83" s="27"/>
      <c r="C83" s="27"/>
    </row>
    <row r="84" spans="1:3" ht="15">
      <c r="A84" s="27" t="s">
        <v>209</v>
      </c>
      <c r="B84" s="27"/>
      <c r="C84" s="27"/>
    </row>
    <row r="85" spans="1:3" ht="15">
      <c r="A85" s="27" t="s">
        <v>210</v>
      </c>
      <c r="B85" s="27"/>
      <c r="C85" s="27"/>
    </row>
    <row r="86" spans="1:3" ht="15">
      <c r="A86" s="27" t="s">
        <v>134</v>
      </c>
      <c r="B86" s="27"/>
      <c r="C86" s="27"/>
    </row>
    <row r="87" spans="1:3" ht="25.5" customHeight="1">
      <c r="A87" s="44" t="s">
        <v>178</v>
      </c>
      <c r="B87" s="44"/>
      <c r="C87" s="27"/>
    </row>
  </sheetData>
  <mergeCells count="2"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&amp;L&amp;F--&amp;A&amp;R&amp;N--&amp;P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xiongwei</dc:creator>
  <cp:keywords/>
  <dc:description/>
  <cp:lastModifiedBy>lenovo</cp:lastModifiedBy>
  <cp:lastPrinted>2007-02-15T21:56:47Z</cp:lastPrinted>
  <dcterms:created xsi:type="dcterms:W3CDTF">2006-09-08T06:55:45Z</dcterms:created>
  <dcterms:modified xsi:type="dcterms:W3CDTF">2007-11-14T06:48:24Z</dcterms:modified>
  <cp:category/>
  <cp:version/>
  <cp:contentType/>
  <cp:contentStatus/>
</cp:coreProperties>
</file>